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90" windowWidth="23715" windowHeight="10725" firstSheet="9" activeTab="11"/>
  </bookViews>
  <sheets>
    <sheet name="目录" sheetId="2" r:id="rId1"/>
    <sheet name="1.1项目法人管理经费" sheetId="12" r:id="rId2"/>
    <sheet name="1.2招标费" sheetId="11" r:id="rId3"/>
    <sheet name="1.3.1监理费" sheetId="10" r:id="rId4"/>
    <sheet name="1.3.2监理费 (架空线路)" sheetId="17" r:id="rId5"/>
    <sheet name="1.4设备材料监造费" sheetId="14" r:id="rId6"/>
    <sheet name="1.5造价咨询及决算审计费" sheetId="15" r:id="rId7"/>
    <sheet name="2.1.1项目前期工作费" sheetId="9" r:id="rId8"/>
    <sheet name="2.1.2项目前期工作费 (架空线路)" sheetId="16" r:id="rId9"/>
    <sheet name="2.3.1设计文件评审费（变电站）" sheetId="1" r:id="rId10"/>
    <sheet name="2.3.2设计文件评审费（换流站）" sheetId="19" r:id="rId11"/>
    <sheet name="2.3.3设计文件评审费 (架空输电线路)" sheetId="18" r:id="rId12"/>
    <sheet name="2.5项目后评价费" sheetId="3" r:id="rId13"/>
    <sheet name="2.6工程结算审查费" sheetId="4" r:id="rId14"/>
    <sheet name="2.7工程建设检测费" sheetId="5" r:id="rId15"/>
    <sheet name="2.8生产准备费" sheetId="13" r:id="rId16"/>
  </sheets>
  <definedNames>
    <definedName name="OLE_LINK2" localSheetId="1">'1.1项目法人管理经费'!#REF!</definedName>
    <definedName name="OLE_LINK2" localSheetId="2">'1.2招标费'!#REF!</definedName>
    <definedName name="OLE_LINK2" localSheetId="3">'1.3.1监理费'!#REF!</definedName>
    <definedName name="OLE_LINK2" localSheetId="4">'1.3.2监理费 (架空线路)'!#REF!</definedName>
    <definedName name="OLE_LINK2" localSheetId="5">'1.4设备材料监造费'!#REF!</definedName>
    <definedName name="OLE_LINK2" localSheetId="6">'1.5造价咨询及决算审计费'!#REF!</definedName>
    <definedName name="OLE_LINK2" localSheetId="7">'2.1.1项目前期工作费'!#REF!</definedName>
    <definedName name="OLE_LINK2" localSheetId="8">'2.1.2项目前期工作费 (架空线路)'!#REF!</definedName>
  </definedNames>
  <calcPr calcId="144525"/>
</workbook>
</file>

<file path=xl/calcChain.xml><?xml version="1.0" encoding="utf-8"?>
<calcChain xmlns="http://schemas.openxmlformats.org/spreadsheetml/2006/main">
  <c r="E19" i="18" l="1"/>
  <c r="J19" i="18" s="1"/>
  <c r="F19" i="18"/>
  <c r="K19" i="18" s="1"/>
  <c r="G19" i="18"/>
  <c r="G18" i="18"/>
  <c r="L18" i="18" s="1"/>
  <c r="F18" i="18"/>
  <c r="K18" i="18" s="1"/>
  <c r="E18" i="18"/>
  <c r="J18" i="18" s="1"/>
  <c r="G17" i="18"/>
  <c r="L17" i="18" s="1"/>
  <c r="F17" i="18"/>
  <c r="K17" i="18" s="1"/>
  <c r="E17" i="18"/>
  <c r="J17" i="18" s="1"/>
  <c r="F16" i="18"/>
  <c r="G16" i="18"/>
  <c r="L16" i="18" s="1"/>
  <c r="K16" i="18"/>
  <c r="E16" i="18"/>
  <c r="J16" i="18" s="1"/>
  <c r="G11" i="18"/>
  <c r="F11" i="18"/>
  <c r="E11" i="18"/>
  <c r="G10" i="18"/>
  <c r="F10" i="18"/>
  <c r="K10" i="18" s="1"/>
  <c r="E10" i="18"/>
  <c r="J10" i="18"/>
  <c r="G9" i="18"/>
  <c r="L9" i="18" s="1"/>
  <c r="F9" i="18"/>
  <c r="E9" i="18"/>
  <c r="J9" i="18" s="1"/>
  <c r="G8" i="18"/>
  <c r="F8" i="18"/>
  <c r="E8" i="18"/>
  <c r="J8" i="18"/>
  <c r="J6" i="18"/>
  <c r="K6" i="18"/>
  <c r="L6" i="18"/>
  <c r="J7" i="18"/>
  <c r="K7" i="18"/>
  <c r="L7" i="18"/>
  <c r="K8" i="18"/>
  <c r="K9" i="18"/>
  <c r="L10" i="18"/>
  <c r="J12" i="18"/>
  <c r="K12" i="18"/>
  <c r="L12" i="18"/>
  <c r="J13" i="18"/>
  <c r="K13" i="18"/>
  <c r="L13" i="18"/>
  <c r="J14" i="18"/>
  <c r="K14" i="18"/>
  <c r="L14" i="18"/>
  <c r="J15" i="18"/>
  <c r="K15" i="18"/>
  <c r="L15" i="18"/>
  <c r="L19" i="18"/>
  <c r="J20" i="18"/>
  <c r="K20" i="18"/>
  <c r="L20" i="18"/>
  <c r="J21" i="18"/>
  <c r="K21" i="18"/>
  <c r="L21" i="18"/>
  <c r="J22" i="18"/>
  <c r="K22" i="18"/>
  <c r="L22" i="18"/>
  <c r="G22" i="18"/>
  <c r="F22" i="18"/>
  <c r="E22" i="18"/>
  <c r="G21" i="18"/>
  <c r="F21" i="18"/>
  <c r="E21" i="18"/>
  <c r="G20" i="18"/>
  <c r="F20" i="18"/>
  <c r="E20" i="18"/>
  <c r="J11" i="18"/>
  <c r="G6" i="18"/>
  <c r="F6" i="18"/>
  <c r="E6" i="18"/>
  <c r="G5" i="18"/>
  <c r="L5" i="18" s="1"/>
  <c r="F5" i="18"/>
  <c r="K5" i="18" s="1"/>
  <c r="E5" i="18"/>
  <c r="J5" i="18" s="1"/>
  <c r="L11" i="18" l="1"/>
  <c r="K11" i="18"/>
  <c r="L8" i="18"/>
  <c r="I6" i="19"/>
  <c r="J6" i="19"/>
  <c r="K6" i="19"/>
  <c r="K5" i="19"/>
  <c r="J5" i="19"/>
  <c r="I5" i="19"/>
  <c r="A2" i="19"/>
  <c r="G7" i="1" l="1"/>
  <c r="F7" i="1"/>
  <c r="E7" i="1"/>
  <c r="G6" i="1"/>
  <c r="F6" i="1"/>
  <c r="E6" i="1"/>
  <c r="G5" i="1"/>
  <c r="I5" i="1" s="1"/>
  <c r="F5" i="1"/>
  <c r="E5" i="1"/>
  <c r="A2" i="1"/>
  <c r="A2" i="18"/>
  <c r="A2" i="16"/>
  <c r="A2" i="9"/>
  <c r="A2" i="11"/>
  <c r="G6" i="17"/>
  <c r="H6" i="17" s="1"/>
  <c r="K6" i="17" s="1"/>
  <c r="G5" i="17"/>
  <c r="A2" i="17"/>
  <c r="G6" i="16"/>
  <c r="I6" i="16" s="1"/>
  <c r="K6" i="16" s="1"/>
  <c r="G5" i="16"/>
  <c r="I5" i="16" s="1"/>
  <c r="K5" i="16" s="1"/>
  <c r="F5" i="9" l="1"/>
  <c r="G5" i="9" s="1"/>
  <c r="I5" i="9" s="1"/>
  <c r="G7" i="9"/>
  <c r="G6" i="9"/>
  <c r="G8" i="15"/>
  <c r="F6" i="15"/>
  <c r="G6" i="15" s="1"/>
  <c r="J6" i="15" s="1"/>
  <c r="F5" i="15"/>
  <c r="G5" i="15" s="1"/>
  <c r="J5" i="15" s="1"/>
  <c r="G7" i="15"/>
  <c r="A2" i="15"/>
  <c r="F5" i="14"/>
  <c r="F5" i="10"/>
  <c r="F5" i="11"/>
  <c r="F6" i="11"/>
  <c r="F6" i="12" l="1"/>
  <c r="F5" i="12"/>
  <c r="F6" i="14" l="1"/>
  <c r="G6" i="14" s="1"/>
  <c r="G5" i="14"/>
  <c r="I5" i="14" s="1"/>
  <c r="A2" i="14"/>
  <c r="G6" i="10"/>
  <c r="G5" i="10"/>
  <c r="J5" i="10" s="1"/>
  <c r="G7" i="10"/>
  <c r="A2" i="10"/>
  <c r="G5" i="11"/>
  <c r="J5" i="11" s="1"/>
  <c r="G8" i="11"/>
  <c r="G7" i="11"/>
  <c r="G6" i="11"/>
  <c r="J6" i="11" s="1"/>
  <c r="G5" i="12"/>
  <c r="G6" i="12"/>
  <c r="I6" i="12" s="1"/>
  <c r="G7" i="12"/>
  <c r="G8" i="12"/>
  <c r="D6" i="13" l="1"/>
  <c r="D5" i="13"/>
  <c r="D6" i="5"/>
  <c r="D5" i="5"/>
  <c r="D6" i="4"/>
  <c r="F6" i="4" s="1"/>
  <c r="H6" i="4" s="1"/>
  <c r="D5" i="4"/>
  <c r="F5" i="4" s="1"/>
  <c r="H5" i="4" s="1"/>
  <c r="D6" i="3"/>
  <c r="F6" i="3" s="1"/>
  <c r="H6" i="3" s="1"/>
  <c r="D5" i="3"/>
  <c r="F5" i="3" s="1"/>
  <c r="H5" i="3" s="1"/>
  <c r="F6" i="13"/>
  <c r="H6" i="13" s="1"/>
  <c r="F5" i="13"/>
  <c r="H5" i="13" s="1"/>
  <c r="F6" i="5"/>
  <c r="H6" i="5" s="1"/>
  <c r="F5" i="5"/>
  <c r="H5" i="5" s="1"/>
  <c r="I5" i="12" l="1"/>
  <c r="L6" i="10" l="1"/>
</calcChain>
</file>

<file path=xl/comments1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 xml:space="preserve">azon Lenovo User </author>
  </authors>
  <commentList>
    <comment ref="D3" authorId="0">
      <text>
        <r>
          <rPr>
            <b/>
            <sz val="9"/>
            <rFont val="宋体"/>
            <family val="3"/>
            <charset val="134"/>
          </rPr>
          <t xml:space="preserve">azon:
</t>
        </r>
        <r>
          <rPr>
            <b/>
            <sz val="12"/>
            <color indexed="10"/>
            <rFont val="楷体_GB2312"/>
            <family val="3"/>
            <charset val="134"/>
          </rPr>
          <t>在这一栏输入数据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<sst xmlns="http://schemas.openxmlformats.org/spreadsheetml/2006/main" count="307" uniqueCount="125">
  <si>
    <t>服务项目</t>
  </si>
  <si>
    <t>工程类别</t>
  </si>
  <si>
    <t>合同降比</t>
  </si>
  <si>
    <t>审定收费</t>
  </si>
  <si>
    <t>标准收费</t>
  </si>
  <si>
    <t>监理费计件收费</t>
    <phoneticPr fontId="3" type="noConversion"/>
  </si>
  <si>
    <t>目录</t>
    <phoneticPr fontId="6" type="noConversion"/>
  </si>
  <si>
    <t>序号</t>
    <phoneticPr fontId="6" type="noConversion"/>
  </si>
  <si>
    <t>适用范围</t>
    <phoneticPr fontId="6" type="noConversion"/>
  </si>
  <si>
    <t>费用项目名称</t>
    <phoneticPr fontId="6" type="noConversion"/>
  </si>
  <si>
    <t>项目建设管理费</t>
  </si>
  <si>
    <t>项目管理经费</t>
    <phoneticPr fontId="6" type="noConversion"/>
  </si>
  <si>
    <t>招标费</t>
    <phoneticPr fontId="6" type="noConversion"/>
  </si>
  <si>
    <t>监理费</t>
    <phoneticPr fontId="6" type="noConversion"/>
  </si>
  <si>
    <t>项目建设服务费</t>
    <phoneticPr fontId="6" type="noConversion"/>
  </si>
  <si>
    <t>设计费</t>
    <phoneticPr fontId="6" type="noConversion"/>
  </si>
  <si>
    <t>设计文件评审费</t>
    <phoneticPr fontId="6" type="noConversion"/>
  </si>
  <si>
    <t>项目后评价费</t>
    <phoneticPr fontId="6" type="noConversion"/>
  </si>
  <si>
    <t>工程结算审查费</t>
    <phoneticPr fontId="6" type="noConversion"/>
  </si>
  <si>
    <t>工程检测费</t>
    <phoneticPr fontId="6" type="noConversion"/>
  </si>
  <si>
    <t>检生产准备费</t>
    <phoneticPr fontId="6" type="noConversion"/>
  </si>
  <si>
    <t>客户名称：</t>
    <phoneticPr fontId="6" type="noConversion"/>
  </si>
  <si>
    <t>计费基础</t>
    <phoneticPr fontId="6" type="noConversion"/>
  </si>
  <si>
    <t>建筑工程费+安装工程费</t>
    <phoneticPr fontId="6" type="noConversion"/>
  </si>
  <si>
    <t>配网工程</t>
    <phoneticPr fontId="6" type="noConversion"/>
  </si>
  <si>
    <t>电缆工程</t>
    <phoneticPr fontId="6" type="noConversion"/>
  </si>
  <si>
    <t>计价基数工程造价</t>
    <phoneticPr fontId="6" type="noConversion"/>
  </si>
  <si>
    <t>费率（%）</t>
    <phoneticPr fontId="6" type="noConversion"/>
  </si>
  <si>
    <t>服务收费</t>
    <phoneticPr fontId="6" type="noConversion"/>
  </si>
  <si>
    <t>招标费</t>
    <phoneticPr fontId="3" type="noConversion"/>
  </si>
  <si>
    <t>建筑工程费+安装工程费+设备购置费</t>
    <phoneticPr fontId="6" type="noConversion"/>
  </si>
  <si>
    <t>项目前期工作费</t>
    <phoneticPr fontId="6" type="noConversion"/>
  </si>
  <si>
    <t>项目前期工作费</t>
    <phoneticPr fontId="3" type="noConversion"/>
  </si>
  <si>
    <t>勘察费</t>
    <phoneticPr fontId="6" type="noConversion"/>
  </si>
  <si>
    <t>安装工程费</t>
    <phoneticPr fontId="6" type="noConversion"/>
  </si>
  <si>
    <t>设计文件评审费</t>
    <phoneticPr fontId="3" type="noConversion"/>
  </si>
  <si>
    <t>项目后评价费</t>
    <phoneticPr fontId="3" type="noConversion"/>
  </si>
  <si>
    <t>工程结算审查费</t>
    <phoneticPr fontId="3" type="noConversion"/>
  </si>
  <si>
    <t>工程建设检测费</t>
    <phoneticPr fontId="3" type="noConversion"/>
  </si>
  <si>
    <t>生产准备费</t>
    <phoneticPr fontId="3" type="noConversion"/>
  </si>
  <si>
    <t>项目类型：电网工程</t>
    <phoneticPr fontId="6" type="noConversion"/>
  </si>
  <si>
    <t>项目法人管理经费</t>
    <phoneticPr fontId="3" type="noConversion"/>
  </si>
  <si>
    <t>变电站、换流站</t>
    <phoneticPr fontId="6" type="noConversion"/>
  </si>
  <si>
    <t>架空输电线路</t>
    <phoneticPr fontId="6" type="noConversion"/>
  </si>
  <si>
    <t>安装工程费</t>
    <phoneticPr fontId="6" type="noConversion"/>
  </si>
  <si>
    <t>电缆输电线路</t>
    <phoneticPr fontId="6" type="noConversion"/>
  </si>
  <si>
    <t>通信工程</t>
    <phoneticPr fontId="6" type="noConversion"/>
  </si>
  <si>
    <t>建筑工程费+安装工程费+设备购置费</t>
    <phoneticPr fontId="6" type="noConversion"/>
  </si>
  <si>
    <t>电压等级（kV）</t>
    <phoneticPr fontId="6" type="noConversion"/>
  </si>
  <si>
    <t>工程类别</t>
    <phoneticPr fontId="6" type="noConversion"/>
  </si>
  <si>
    <t>标准收费</t>
    <phoneticPr fontId="6" type="noConversion"/>
  </si>
  <si>
    <t>注：架空交流输电线路长度超过300km时，超过部分乘以0.8系数；架空直流输电线路长度超过1500km时，超过部分乘以0.8系数。</t>
    <phoneticPr fontId="6" type="noConversion"/>
  </si>
  <si>
    <t>架空输电线路（单回路）</t>
    <phoneticPr fontId="6" type="noConversion"/>
  </si>
  <si>
    <t>架空输电线路（同杆塔双回路）</t>
    <phoneticPr fontId="6" type="noConversion"/>
  </si>
  <si>
    <t>注：35kV及以上箱式变电站每站按1.5万元——3.5万元计列。</t>
    <phoneticPr fontId="6" type="noConversion"/>
  </si>
  <si>
    <t>万元/km</t>
    <phoneticPr fontId="6" type="noConversion"/>
  </si>
  <si>
    <t>设备材料监造费</t>
    <phoneticPr fontId="3" type="noConversion"/>
  </si>
  <si>
    <t>调整系数</t>
    <phoneticPr fontId="6" type="noConversion"/>
  </si>
  <si>
    <t>合同降比</t>
    <phoneticPr fontId="6" type="noConversion"/>
  </si>
  <si>
    <t>服务项目</t>
    <phoneticPr fontId="6" type="noConversion"/>
  </si>
  <si>
    <t>服务项目</t>
    <phoneticPr fontId="6" type="noConversion"/>
  </si>
  <si>
    <t>造价咨询及决算审计费</t>
    <phoneticPr fontId="3" type="noConversion"/>
  </si>
  <si>
    <t>安装工程费</t>
    <phoneticPr fontId="6" type="noConversion"/>
  </si>
  <si>
    <t>路上电缆</t>
    <phoneticPr fontId="6" type="noConversion"/>
  </si>
  <si>
    <t>海底电缆</t>
    <phoneticPr fontId="6" type="noConversion"/>
  </si>
  <si>
    <t>调整系数</t>
    <phoneticPr fontId="6" type="noConversion"/>
  </si>
  <si>
    <t>计价基数长度(km)</t>
    <phoneticPr fontId="6" type="noConversion"/>
  </si>
  <si>
    <t>架空交流输电线路</t>
    <phoneticPr fontId="6" type="noConversion"/>
  </si>
  <si>
    <t>架空直流输电线路</t>
    <phoneticPr fontId="6" type="noConversion"/>
  </si>
  <si>
    <t>超过部分</t>
    <phoneticPr fontId="6" type="noConversion"/>
  </si>
  <si>
    <t>费率（%）</t>
  </si>
  <si>
    <t>审定收费</t>
    <phoneticPr fontId="6" type="noConversion"/>
  </si>
  <si>
    <t>线路长度</t>
    <phoneticPr fontId="6" type="noConversion"/>
  </si>
  <si>
    <t>计价基数(km)</t>
    <phoneticPr fontId="6" type="noConversion"/>
  </si>
  <si>
    <t>交流300km，直流1500km以内</t>
    <phoneticPr fontId="6" type="noConversion"/>
  </si>
  <si>
    <t>超过部分</t>
    <phoneticPr fontId="6" type="noConversion"/>
  </si>
  <si>
    <t>交流300km以内
直流1500km以内</t>
    <phoneticPr fontId="6" type="noConversion"/>
  </si>
  <si>
    <t>按国家规定执行</t>
    <phoneticPr fontId="6" type="noConversion"/>
  </si>
  <si>
    <t>项目名称：</t>
    <phoneticPr fontId="6" type="noConversion"/>
  </si>
  <si>
    <t>新建工程</t>
    <phoneticPr fontId="6" type="noConversion"/>
  </si>
  <si>
    <t>扩建主变压器工程</t>
    <phoneticPr fontId="6" type="noConversion"/>
  </si>
  <si>
    <t>扩建间隔工程</t>
    <phoneticPr fontId="6" type="noConversion"/>
  </si>
  <si>
    <t>变电站</t>
    <phoneticPr fontId="3" type="noConversion"/>
  </si>
  <si>
    <t>规模（组）</t>
    <phoneticPr fontId="6" type="noConversion"/>
  </si>
  <si>
    <t>可行性研究</t>
    <phoneticPr fontId="6" type="noConversion"/>
  </si>
  <si>
    <t>初步设计</t>
    <phoneticPr fontId="6" type="noConversion"/>
  </si>
  <si>
    <t>施工图设计</t>
    <phoneticPr fontId="6" type="noConversion"/>
  </si>
  <si>
    <t xml:space="preserve">注1：330～100OkV新建工程按本期建设两组主变压器考虑,20kV及以下拨建一组主变压器考虑,每增减一组主变压器按照20%调整。
</t>
    <phoneticPr fontId="3" type="noConversion"/>
  </si>
  <si>
    <t xml:space="preserve">注2:扩建主变压器均按一组考虑,每增加一组主变压器费用增加20%；
</t>
    <phoneticPr fontId="3" type="noConversion"/>
  </si>
  <si>
    <r>
      <rPr>
        <sz val="11"/>
        <rFont val="楷体_GB2312"/>
        <family val="3"/>
        <charset val="134"/>
      </rPr>
      <t>注3:扩建主变压器工程综合考虑了扩建出线。</t>
    </r>
    <phoneticPr fontId="3" type="noConversion"/>
  </si>
  <si>
    <r>
      <rPr>
        <sz val="11"/>
        <rFont val="楷体_GB2312"/>
        <family val="3"/>
        <charset val="134"/>
      </rPr>
      <t xml:space="preserve">注4:串联补偿站按新建工程的70%计算。
</t>
    </r>
    <phoneticPr fontId="3" type="noConversion"/>
  </si>
  <si>
    <r>
      <rPr>
        <sz val="11"/>
        <rFont val="楷体_GB2312"/>
        <family val="3"/>
        <charset val="134"/>
      </rPr>
      <t>注5:变电站保护改造按照同电压等级扩建间隔80%计列。</t>
    </r>
    <phoneticPr fontId="3" type="noConversion"/>
  </si>
  <si>
    <t>换流站</t>
  </si>
  <si>
    <t>换流站</t>
    <phoneticPr fontId="3" type="noConversion"/>
  </si>
  <si>
    <t>±500</t>
    <phoneticPr fontId="6" type="noConversion"/>
  </si>
  <si>
    <t>±800</t>
    <phoneticPr fontId="6" type="noConversion"/>
  </si>
  <si>
    <t>调整系数</t>
    <phoneticPr fontId="6" type="noConversion"/>
  </si>
  <si>
    <t xml:space="preserve">注1：采用多端柔性直流方案时乘以1.1的系数。
</t>
    <phoneticPr fontId="3" type="noConversion"/>
  </si>
  <si>
    <t>线路长度(km)</t>
    <phoneticPr fontId="6" type="noConversion"/>
  </si>
  <si>
    <t>初步设计</t>
    <phoneticPr fontId="6" type="noConversion"/>
  </si>
  <si>
    <t>调整系数</t>
    <phoneticPr fontId="6" type="noConversion"/>
  </si>
  <si>
    <t>5km及以内</t>
    <phoneticPr fontId="6" type="noConversion"/>
  </si>
  <si>
    <t>10km以上</t>
    <phoneticPr fontId="6" type="noConversion"/>
  </si>
  <si>
    <t>建设规模</t>
    <phoneticPr fontId="6" type="noConversion"/>
  </si>
  <si>
    <t>10km以内</t>
    <phoneticPr fontId="6" type="noConversion"/>
  </si>
  <si>
    <t>审定收费</t>
    <phoneticPr fontId="6" type="noConversion"/>
  </si>
  <si>
    <t>5～10km(含)</t>
    <phoneticPr fontId="6" type="noConversion"/>
  </si>
  <si>
    <t>10～30km(含)</t>
    <phoneticPr fontId="6" type="noConversion"/>
  </si>
  <si>
    <t>30km以上</t>
    <phoneticPr fontId="6" type="noConversion"/>
  </si>
  <si>
    <t>10～50km(含)</t>
    <phoneticPr fontId="6" type="noConversion"/>
  </si>
  <si>
    <t>50～100km(含)</t>
    <phoneticPr fontId="6" type="noConversion"/>
  </si>
  <si>
    <t>100km以上</t>
    <phoneticPr fontId="6" type="noConversion"/>
  </si>
  <si>
    <t>200km以上</t>
    <phoneticPr fontId="6" type="noConversion"/>
  </si>
  <si>
    <t>100km以内</t>
    <phoneticPr fontId="6" type="noConversion"/>
  </si>
  <si>
    <t>300km以上</t>
    <phoneticPr fontId="6" type="noConversion"/>
  </si>
  <si>
    <t>300km以内</t>
    <phoneticPr fontId="6" type="noConversion"/>
  </si>
  <si>
    <t>±500</t>
  </si>
  <si>
    <t>300～500km(含)</t>
    <phoneticPr fontId="6" type="noConversion"/>
  </si>
  <si>
    <t>500～1000km(含)</t>
    <phoneticPr fontId="6" type="noConversion"/>
  </si>
  <si>
    <t>1000km以上</t>
    <phoneticPr fontId="6" type="noConversion"/>
  </si>
  <si>
    <t>50～200km(含)</t>
    <phoneticPr fontId="6" type="noConversion"/>
  </si>
  <si>
    <t>100～300km(含)</t>
    <phoneticPr fontId="6" type="noConversion"/>
  </si>
  <si>
    <t>架空输电线路(交流)</t>
    <phoneticPr fontId="3" type="noConversion"/>
  </si>
  <si>
    <t>架空输电线路(直流)</t>
    <phoneticPr fontId="6" type="noConversion"/>
  </si>
  <si>
    <t>±800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</si>
</sst>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_ "/>
  </numFmts>
  <fonts count="34">
    <font>
      <sz val="12"/>
      <name val="楷体_GB2312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Times New Roman"/>
      <family val="1"/>
    </font>
    <font>
      <sz val="11"/>
      <name val="宋体"/>
      <family val="3"/>
      <charset val="134"/>
    </font>
    <font>
      <sz val="9"/>
      <name val="楷体_GB2312"/>
      <family val="3"/>
      <charset val="134"/>
    </font>
    <font>
      <sz val="11"/>
      <name val="Times New Roman"/>
      <family val="1"/>
    </font>
    <font>
      <b/>
      <sz val="11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0.5"/>
      <color indexed="8"/>
      <name val="仿宋_GB2312"/>
      <family val="3"/>
      <charset val="134"/>
    </font>
    <font>
      <sz val="11"/>
      <color indexed="8"/>
      <name val="楷体_GB2312"/>
      <family val="3"/>
      <charset val="134"/>
    </font>
    <font>
      <sz val="11"/>
      <name val="Arial"/>
      <family val="2"/>
    </font>
    <font>
      <b/>
      <sz val="11"/>
      <color indexed="17"/>
      <name val="Arial"/>
      <family val="2"/>
    </font>
    <font>
      <b/>
      <sz val="11"/>
      <color indexed="20"/>
      <name val="Arial"/>
      <family val="2"/>
    </font>
    <font>
      <sz val="11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Arial"/>
      <family val="2"/>
    </font>
    <font>
      <b/>
      <sz val="9"/>
      <name val="宋体"/>
      <family val="3"/>
      <charset val="134"/>
    </font>
    <font>
      <b/>
      <sz val="12"/>
      <color indexed="10"/>
      <name val="楷体_GB2312"/>
      <family val="3"/>
      <charset val="134"/>
    </font>
    <font>
      <sz val="9"/>
      <name val="宋体"/>
      <family val="3"/>
      <charset val="134"/>
    </font>
    <font>
      <sz val="11"/>
      <name val="楷体_GB2312"/>
      <family val="3"/>
      <charset val="134"/>
    </font>
    <font>
      <sz val="8"/>
      <name val="Arial Black"/>
      <family val="2"/>
    </font>
    <font>
      <b/>
      <sz val="18"/>
      <name val="楷体_GB2312"/>
      <family val="3"/>
      <charset val="134"/>
    </font>
    <font>
      <b/>
      <sz val="12"/>
      <name val="宋体"/>
      <family val="3"/>
      <charset val="134"/>
    </font>
    <font>
      <u/>
      <sz val="12"/>
      <color theme="10"/>
      <name val="楷体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name val="宋体"/>
      <family val="3"/>
      <charset val="134"/>
    </font>
    <font>
      <u/>
      <sz val="11"/>
      <color theme="10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b/>
      <sz val="11"/>
      <name val="楷体_GB2312"/>
      <family val="3"/>
      <charset val="134"/>
    </font>
    <font>
      <b/>
      <sz val="11"/>
      <color indexed="17"/>
      <name val="楷体_GB2312"/>
      <family val="3"/>
      <charset val="134"/>
    </font>
    <font>
      <b/>
      <sz val="11"/>
      <color indexed="20"/>
      <name val="楷体_GB2312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3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3" borderId="0" applyNumberFormat="0" applyFill="0" applyBorder="0" applyAlignment="0" applyProtection="0">
      <alignment vertical="center"/>
    </xf>
  </cellStyleXfs>
  <cellXfs count="124">
    <xf numFmtId="0" fontId="0" fillId="3" borderId="0" xfId="0">
      <alignment vertical="center"/>
    </xf>
    <xf numFmtId="0" fontId="4" fillId="0" borderId="0" xfId="2" applyNumberFormat="1" applyFont="1" applyFill="1" applyAlignment="1" applyProtection="1">
      <alignment vertical="center" shrinkToFit="1"/>
      <protection locked="0"/>
    </xf>
    <xf numFmtId="0" fontId="4" fillId="0" borderId="0" xfId="2" applyNumberFormat="1" applyFont="1" applyFill="1" applyAlignment="1" applyProtection="1">
      <alignment horizontal="center" vertical="center" shrinkToFit="1"/>
      <protection locked="0"/>
    </xf>
    <xf numFmtId="0" fontId="7" fillId="2" borderId="0" xfId="2" applyNumberFormat="1" applyFont="1" applyFill="1" applyAlignment="1" applyProtection="1">
      <alignment vertical="center" shrinkToFit="1"/>
      <protection locked="0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2" applyNumberFormat="1" applyFont="1" applyFill="1" applyBorder="1" applyAlignment="1" applyProtection="1">
      <alignment vertical="center" shrinkToFit="1"/>
      <protection locked="0"/>
    </xf>
    <xf numFmtId="0" fontId="11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2" xfId="2" applyNumberFormat="1" applyFont="1" applyFill="1" applyBorder="1" applyAlignment="1" applyProtection="1">
      <alignment vertical="center" shrinkToFit="1"/>
      <protection locked="0"/>
    </xf>
    <xf numFmtId="9" fontId="12" fillId="4" borderId="2" xfId="1" applyNumberFormat="1" applyFont="1" applyFill="1" applyBorder="1" applyAlignment="1" applyProtection="1">
      <alignment vertical="center" shrinkToFit="1"/>
      <protection locked="0"/>
    </xf>
    <xf numFmtId="0" fontId="17" fillId="0" borderId="0" xfId="2" applyNumberFormat="1" applyFont="1" applyFill="1" applyBorder="1" applyAlignment="1" applyProtection="1">
      <alignment vertical="center" shrinkToFit="1"/>
      <protection locked="0"/>
    </xf>
    <xf numFmtId="0" fontId="4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0" applyFont="1">
      <alignment vertical="center"/>
    </xf>
    <xf numFmtId="0" fontId="0" fillId="3" borderId="0" xfId="0" applyAlignment="1">
      <alignment horizontal="center" vertical="center"/>
    </xf>
    <xf numFmtId="0" fontId="24" fillId="3" borderId="0" xfId="0" applyFont="1" applyAlignment="1">
      <alignment horizontal="center" vertical="center"/>
    </xf>
    <xf numFmtId="0" fontId="25" fillId="3" borderId="2" xfId="3" applyBorder="1">
      <alignment vertical="center"/>
    </xf>
    <xf numFmtId="0" fontId="14" fillId="2" borderId="2" xfId="2" applyNumberFormat="1" applyFont="1" applyFill="1" applyBorder="1" applyAlignment="1" applyProtection="1">
      <alignment horizontal="center" vertical="center"/>
      <protection locked="0"/>
    </xf>
    <xf numFmtId="176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3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Alignment="1">
      <alignment horizontal="center" vertical="center"/>
    </xf>
    <xf numFmtId="0" fontId="27" fillId="3" borderId="2" xfId="0" applyFont="1" applyBorder="1" applyAlignment="1">
      <alignment horizontal="center" vertical="center"/>
    </xf>
    <xf numFmtId="0" fontId="28" fillId="3" borderId="2" xfId="0" applyFont="1" applyBorder="1" applyAlignment="1">
      <alignment horizontal="center" vertical="center"/>
    </xf>
    <xf numFmtId="0" fontId="26" fillId="3" borderId="2" xfId="0" applyFont="1" applyBorder="1" applyAlignment="1">
      <alignment horizontal="center" vertical="center"/>
    </xf>
    <xf numFmtId="0" fontId="29" fillId="3" borderId="2" xfId="3" applyFont="1" applyBorder="1">
      <alignment vertical="center"/>
    </xf>
    <xf numFmtId="0" fontId="26" fillId="3" borderId="2" xfId="0" applyFont="1" applyBorder="1">
      <alignment vertical="center"/>
    </xf>
    <xf numFmtId="0" fontId="26" fillId="3" borderId="2" xfId="0" applyFont="1" applyBorder="1" applyAlignment="1">
      <alignment vertical="center" wrapText="1"/>
    </xf>
    <xf numFmtId="0" fontId="29" fillId="3" borderId="2" xfId="3" applyFont="1" applyBorder="1" applyAlignment="1">
      <alignment vertical="center" wrapText="1"/>
    </xf>
    <xf numFmtId="0" fontId="28" fillId="3" borderId="7" xfId="0" applyFont="1" applyBorder="1" applyAlignment="1">
      <alignment horizontal="center" vertical="center"/>
    </xf>
    <xf numFmtId="0" fontId="5" fillId="2" borderId="0" xfId="2" applyNumberFormat="1" applyFont="1" applyFill="1" applyBorder="1" applyAlignment="1" applyProtection="1">
      <alignment horizontal="left" vertical="center" shrinkToFit="1"/>
      <protection locked="0"/>
    </xf>
    <xf numFmtId="10" fontId="13" fillId="2" borderId="2" xfId="1" applyNumberFormat="1" applyFont="1" applyFill="1" applyBorder="1" applyAlignment="1" applyProtection="1">
      <alignment horizontal="center" vertical="center"/>
      <protection locked="0"/>
    </xf>
    <xf numFmtId="0" fontId="9" fillId="2" borderId="4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>
      <alignment vertical="center"/>
    </xf>
    <xf numFmtId="0" fontId="7" fillId="6" borderId="0" xfId="2" applyNumberFormat="1" applyFont="1" applyFill="1" applyAlignment="1" applyProtection="1">
      <alignment vertical="center" shrinkToFit="1"/>
      <protection locked="0"/>
    </xf>
    <xf numFmtId="0" fontId="8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6" borderId="2" xfId="2" applyNumberFormat="1" applyFont="1" applyFill="1" applyBorder="1" applyAlignment="1" applyProtection="1">
      <alignment vertical="center" shrinkToFit="1"/>
      <protection locked="0"/>
    </xf>
    <xf numFmtId="10" fontId="13" fillId="6" borderId="2" xfId="1" applyNumberFormat="1" applyFont="1" applyFill="1" applyBorder="1" applyAlignment="1" applyProtection="1">
      <alignment horizontal="center" vertical="center"/>
    </xf>
    <xf numFmtId="176" fontId="15" fillId="6" borderId="2" xfId="0" applyNumberFormat="1" applyFont="1" applyFill="1" applyBorder="1" applyAlignment="1" applyProtection="1">
      <alignment horizontal="center" vertical="center" wrapText="1"/>
      <protection locked="0"/>
    </xf>
    <xf numFmtId="9" fontId="12" fillId="6" borderId="2" xfId="1" applyNumberFormat="1" applyFont="1" applyFill="1" applyBorder="1" applyAlignment="1" applyProtection="1">
      <alignment vertical="center" shrinkToFit="1"/>
      <protection locked="0"/>
    </xf>
    <xf numFmtId="0" fontId="14" fillId="6" borderId="2" xfId="2" applyNumberFormat="1" applyFont="1" applyFill="1" applyBorder="1" applyAlignment="1" applyProtection="1">
      <alignment horizontal="center" vertical="center"/>
      <protection locked="0"/>
    </xf>
    <xf numFmtId="2" fontId="13" fillId="2" borderId="2" xfId="1" applyNumberFormat="1" applyFont="1" applyFill="1" applyBorder="1" applyAlignment="1" applyProtection="1">
      <alignment horizontal="center" vertical="center"/>
    </xf>
    <xf numFmtId="0" fontId="31" fillId="3" borderId="0" xfId="0" applyFont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2" xfId="1" applyNumberFormat="1" applyFont="1" applyFill="1" applyBorder="1" applyAlignment="1" applyProtection="1">
      <alignment horizontal="center" vertical="center"/>
      <protection locked="0"/>
    </xf>
    <xf numFmtId="176" fontId="15" fillId="2" borderId="2" xfId="0" applyNumberFormat="1" applyFont="1" applyFill="1" applyBorder="1" applyAlignment="1" applyProtection="1">
      <alignment horizontal="center" vertical="center" wrapText="1"/>
    </xf>
    <xf numFmtId="0" fontId="1" fillId="0" borderId="8" xfId="2" applyNumberFormat="1" applyFont="1" applyFill="1" applyBorder="1" applyAlignment="1" applyProtection="1">
      <alignment horizontal="left" vertical="center" shrinkToFit="1"/>
      <protection locked="0"/>
    </xf>
    <xf numFmtId="0" fontId="11" fillId="2" borderId="4" xfId="0" applyNumberFormat="1" applyFont="1" applyFill="1" applyBorder="1" applyAlignment="1" applyProtection="1">
      <alignment vertical="center" wrapText="1"/>
      <protection locked="0"/>
    </xf>
    <xf numFmtId="0" fontId="11" fillId="2" borderId="6" xfId="0" applyNumberFormat="1" applyFont="1" applyFill="1" applyBorder="1" applyAlignment="1" applyProtection="1">
      <alignment vertical="center" wrapText="1"/>
      <protection locked="0"/>
    </xf>
    <xf numFmtId="0" fontId="11" fillId="2" borderId="5" xfId="0" applyNumberFormat="1" applyFont="1" applyFill="1" applyBorder="1" applyAlignment="1" applyProtection="1">
      <alignment vertical="center" wrapText="1"/>
      <protection locked="0"/>
    </xf>
    <xf numFmtId="0" fontId="1" fillId="0" borderId="0" xfId="2" applyNumberFormat="1" applyFont="1" applyFill="1" applyBorder="1" applyAlignment="1" applyProtection="1">
      <alignment horizontal="left" vertical="center" shrinkToFit="1"/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2" xfId="1" applyNumberFormat="1" applyFont="1" applyFill="1" applyBorder="1" applyAlignment="1" applyProtection="1">
      <alignment horizontal="center" vertical="center"/>
      <protection locked="0"/>
    </xf>
    <xf numFmtId="0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177" fontId="15" fillId="2" borderId="2" xfId="0" applyNumberFormat="1" applyFont="1" applyFill="1" applyBorder="1" applyAlignment="1" applyProtection="1">
      <alignment horizontal="center" vertical="center" wrapText="1"/>
    </xf>
    <xf numFmtId="177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2" applyNumberFormat="1" applyFont="1" applyFill="1" applyBorder="1" applyAlignment="1" applyProtection="1">
      <alignment horizontal="left" vertical="center" shrinkToFit="1"/>
    </xf>
    <xf numFmtId="0" fontId="4" fillId="0" borderId="0" xfId="2" applyNumberFormat="1" applyFont="1" applyFill="1" applyAlignment="1" applyProtection="1">
      <alignment vertical="center"/>
      <protection locked="0"/>
    </xf>
    <xf numFmtId="0" fontId="1" fillId="0" borderId="8" xfId="2" applyNumberFormat="1" applyFont="1" applyFill="1" applyBorder="1" applyAlignment="1" applyProtection="1">
      <alignment horizontal="left" vertical="center"/>
      <protection locked="0"/>
    </xf>
    <xf numFmtId="0" fontId="9" fillId="2" borderId="3" xfId="0" applyNumberFormat="1" applyFont="1" applyFill="1" applyBorder="1" applyAlignment="1" applyProtection="1">
      <alignment vertical="center" wrapText="1"/>
      <protection locked="0"/>
    </xf>
    <xf numFmtId="0" fontId="1" fillId="0" borderId="8" xfId="2" applyNumberFormat="1" applyFont="1" applyFill="1" applyBorder="1" applyAlignment="1" applyProtection="1">
      <alignment horizontal="left" vertical="center" shrinkToFi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2" applyNumberFormat="1" applyFont="1" applyFill="1" applyBorder="1" applyAlignment="1" applyProtection="1">
      <alignment vertical="center" shrinkToFit="1"/>
      <protection locked="0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2" applyNumberFormat="1" applyFont="1" applyFill="1" applyBorder="1" applyAlignment="1" applyProtection="1">
      <alignment vertical="center" shrinkToFit="1"/>
      <protection locked="0"/>
    </xf>
    <xf numFmtId="10" fontId="13" fillId="0" borderId="0" xfId="1" applyNumberFormat="1" applyFont="1" applyFill="1" applyBorder="1" applyAlignment="1" applyProtection="1">
      <alignment horizontal="center" vertical="center"/>
      <protection locked="0"/>
    </xf>
    <xf numFmtId="9" fontId="12" fillId="0" borderId="0" xfId="1" applyNumberFormat="1" applyFont="1" applyFill="1" applyBorder="1" applyAlignment="1" applyProtection="1">
      <alignment vertical="center" shrinkToFit="1"/>
      <protection locked="0"/>
    </xf>
    <xf numFmtId="0" fontId="14" fillId="0" borderId="0" xfId="2" applyNumberFormat="1" applyFont="1" applyFill="1" applyBorder="1" applyAlignment="1" applyProtection="1">
      <alignment horizontal="center" vertical="center"/>
      <protection locked="0"/>
    </xf>
    <xf numFmtId="2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vertical="center"/>
      <protection locked="0"/>
    </xf>
    <xf numFmtId="0" fontId="3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2" applyNumberFormat="1" applyFont="1" applyFill="1" applyBorder="1" applyAlignment="1" applyProtection="1">
      <alignment vertical="center" shrinkToFit="1"/>
      <protection locked="0"/>
    </xf>
    <xf numFmtId="10" fontId="32" fillId="0" borderId="0" xfId="1" applyNumberFormat="1" applyFont="1" applyFill="1" applyBorder="1" applyAlignment="1" applyProtection="1">
      <alignment horizontal="center" vertical="center"/>
      <protection locked="0"/>
    </xf>
    <xf numFmtId="2" fontId="32" fillId="0" borderId="0" xfId="1" applyNumberFormat="1" applyFont="1" applyFill="1" applyBorder="1" applyAlignment="1" applyProtection="1">
      <alignment horizontal="center" vertical="center"/>
      <protection locked="0"/>
    </xf>
    <xf numFmtId="176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21" fillId="0" borderId="0" xfId="1" applyNumberFormat="1" applyFont="1" applyFill="1" applyBorder="1" applyAlignment="1" applyProtection="1">
      <alignment vertical="center" shrinkToFit="1"/>
      <protection locked="0"/>
    </xf>
    <xf numFmtId="0" fontId="33" fillId="0" borderId="0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Alignment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2" applyNumberFormat="1" applyFont="1" applyFill="1" applyAlignment="1" applyProtection="1">
      <alignment horizontal="center" vertical="center" shrinkToFit="1"/>
      <protection locked="0"/>
    </xf>
    <xf numFmtId="0" fontId="5" fillId="2" borderId="1" xfId="2" applyNumberFormat="1" applyFont="1" applyFill="1" applyBorder="1" applyAlignment="1" applyProtection="1">
      <alignment horizontal="left" vertical="center" shrinkToFit="1"/>
      <protection locked="0"/>
    </xf>
    <xf numFmtId="0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2" applyNumberFormat="1" applyFont="1" applyFill="1" applyBorder="1" applyAlignment="1" applyProtection="1">
      <alignment horizontal="left" vertical="center" shrinkToFit="1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2" applyNumberFormat="1" applyFont="1" applyFill="1" applyBorder="1" applyAlignment="1" applyProtection="1">
      <alignment horizontal="left" vertical="center" shrinkToFit="1"/>
      <protection locked="0"/>
    </xf>
    <xf numFmtId="0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2" applyNumberFormat="1" applyFont="1" applyFill="1" applyBorder="1" applyAlignment="1" applyProtection="1">
      <alignment horizontal="left" vertical="center" shrinkToFit="1"/>
      <protection locked="0"/>
    </xf>
    <xf numFmtId="0" fontId="2" fillId="6" borderId="0" xfId="2" applyNumberFormat="1" applyFont="1" applyFill="1" applyAlignment="1" applyProtection="1">
      <alignment horizontal="center" vertical="center" shrinkToFit="1"/>
      <protection locked="0"/>
    </xf>
    <xf numFmtId="0" fontId="9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百分比" xfId="1" builtinId="5"/>
    <cellStyle name="常规" xfId="0" builtinId="0"/>
    <cellStyle name="常规_MYWORK2" xfId="2"/>
    <cellStyle name="超链接" xfId="3" builtinId="8"/>
  </cellStyles>
  <dxfs count="0"/>
  <tableStyles count="0" defaultTableStyle="TableStyleMedium2" defaultPivotStyle="PivotStyleLight16"/>
  <colors>
    <mruColors>
      <color rgb="FF66FFCC"/>
      <color rgb="FF00FF99"/>
      <color rgb="FF00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6"/>
  <sheetViews>
    <sheetView workbookViewId="0">
      <selection activeCell="E6" sqref="E6"/>
    </sheetView>
  </sheetViews>
  <sheetFormatPr defaultRowHeight="14.25"/>
  <cols>
    <col min="1" max="1" width="5.5" style="12" bestFit="1" customWidth="1"/>
    <col min="2" max="2" width="32.625" customWidth="1"/>
    <col min="3" max="3" width="84.875" bestFit="1" customWidth="1"/>
  </cols>
  <sheetData>
    <row r="1" spans="1:3" ht="22.5">
      <c r="A1" s="93" t="s">
        <v>6</v>
      </c>
      <c r="B1" s="93"/>
      <c r="C1" s="93"/>
    </row>
    <row r="2" spans="1:3" ht="22.5">
      <c r="A2" s="40" t="s">
        <v>40</v>
      </c>
      <c r="B2" s="18"/>
      <c r="C2" s="40" t="s">
        <v>78</v>
      </c>
    </row>
    <row r="3" spans="1:3" s="13" customFormat="1" ht="24.95" customHeight="1">
      <c r="A3" s="19" t="s">
        <v>7</v>
      </c>
      <c r="B3" s="26" t="s">
        <v>9</v>
      </c>
      <c r="C3" s="19" t="s">
        <v>8</v>
      </c>
    </row>
    <row r="4" spans="1:3" s="13" customFormat="1" ht="24.95" customHeight="1">
      <c r="A4" s="19">
        <v>1</v>
      </c>
      <c r="B4" s="20" t="s">
        <v>10</v>
      </c>
      <c r="C4" s="19"/>
    </row>
    <row r="5" spans="1:3" s="11" customFormat="1" ht="24.95" customHeight="1">
      <c r="A5" s="21">
        <v>1.1000000000000001</v>
      </c>
      <c r="B5" s="14" t="s">
        <v>11</v>
      </c>
      <c r="C5" s="23"/>
    </row>
    <row r="6" spans="1:3" s="11" customFormat="1" ht="63.75" customHeight="1">
      <c r="A6" s="21">
        <v>1.2</v>
      </c>
      <c r="B6" s="14" t="s">
        <v>12</v>
      </c>
      <c r="C6" s="24"/>
    </row>
    <row r="7" spans="1:3" s="11" customFormat="1" ht="24.95" customHeight="1">
      <c r="A7" s="21">
        <v>1.3</v>
      </c>
      <c r="B7" s="14" t="s">
        <v>13</v>
      </c>
      <c r="C7" s="23"/>
    </row>
    <row r="8" spans="1:3" s="13" customFormat="1" ht="24.95" customHeight="1">
      <c r="A8" s="19">
        <v>2</v>
      </c>
      <c r="B8" s="20" t="s">
        <v>14</v>
      </c>
      <c r="C8" s="19"/>
    </row>
    <row r="9" spans="1:3" ht="24.95" customHeight="1">
      <c r="A9" s="21">
        <v>2.1</v>
      </c>
      <c r="B9" s="14" t="s">
        <v>31</v>
      </c>
      <c r="C9" s="23"/>
    </row>
    <row r="10" spans="1:3" ht="24.95" customHeight="1">
      <c r="A10" s="21">
        <v>2.2000000000000002</v>
      </c>
      <c r="B10" s="14" t="s">
        <v>33</v>
      </c>
      <c r="C10" s="23" t="s">
        <v>77</v>
      </c>
    </row>
    <row r="11" spans="1:3" ht="24.95" customHeight="1">
      <c r="A11" s="21">
        <v>2.2999999999999998</v>
      </c>
      <c r="B11" s="14" t="s">
        <v>15</v>
      </c>
      <c r="C11" s="23" t="s">
        <v>77</v>
      </c>
    </row>
    <row r="12" spans="1:3" ht="24.95" customHeight="1">
      <c r="A12" s="21">
        <v>2.4</v>
      </c>
      <c r="B12" s="14" t="s">
        <v>16</v>
      </c>
      <c r="C12" s="23"/>
    </row>
    <row r="13" spans="1:3" ht="24.95" customHeight="1">
      <c r="A13" s="21">
        <v>2.5</v>
      </c>
      <c r="B13" s="25" t="s">
        <v>17</v>
      </c>
      <c r="C13" s="23"/>
    </row>
    <row r="14" spans="1:3" ht="24.95" customHeight="1">
      <c r="A14" s="21">
        <v>2.6</v>
      </c>
      <c r="B14" s="14" t="s">
        <v>18</v>
      </c>
      <c r="C14" s="23"/>
    </row>
    <row r="15" spans="1:3" ht="24.95" customHeight="1">
      <c r="A15" s="21">
        <v>2.7</v>
      </c>
      <c r="B15" s="22" t="s">
        <v>19</v>
      </c>
      <c r="C15" s="23"/>
    </row>
    <row r="16" spans="1:3" s="13" customFormat="1" ht="24.95" customHeight="1">
      <c r="A16" s="19">
        <v>3</v>
      </c>
      <c r="B16" s="22" t="s">
        <v>20</v>
      </c>
      <c r="C16" s="19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1">
    <mergeCell ref="A1:C1"/>
  </mergeCells>
  <phoneticPr fontId="6" type="noConversion"/>
  <hyperlinks>
    <hyperlink ref="B11" location="'2.3 设计费'!A1" display="设计费"/>
    <hyperlink ref="B5" location="'1.1项目管理经费'!A1" display="项目管理经费"/>
    <hyperlink ref="B6" location="'1.2招标费'!A1" display="招标费"/>
    <hyperlink ref="B7" location="'1.3监理费'!A1" display="监理费"/>
    <hyperlink ref="B9" location="'2.1项目前期工作费'!A1" display="项目前期工作费"/>
    <hyperlink ref="B10" location="'2.2勘察费'!A1" display="勘察费"/>
    <hyperlink ref="B12" location="'2.4设计文件评审费'!A1" display="设计文件评审费"/>
    <hyperlink ref="B13" location="附表二!A1" display="附表二"/>
    <hyperlink ref="B14" location="'2.6工程结算审查费'!A1" display="工程结算审查费"/>
    <hyperlink ref="B15" location="附表四!A1" display="附表四"/>
    <hyperlink ref="B16" location="附表四!A1" display="附表四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2"/>
  <sheetViews>
    <sheetView showGridLines="0" showZeros="0" showOutlineSymbols="0" workbookViewId="0">
      <selection activeCell="F13" sqref="F13"/>
    </sheetView>
  </sheetViews>
  <sheetFormatPr defaultColWidth="8.625" defaultRowHeight="24.95" customHeight="1"/>
  <cols>
    <col min="1" max="1" width="16.625" style="1" customWidth="1"/>
    <col min="2" max="2" width="20.5" style="1" bestFit="1" customWidth="1"/>
    <col min="3" max="3" width="7.25" style="1" customWidth="1"/>
    <col min="4" max="4" width="14.25" style="1" customWidth="1"/>
    <col min="5" max="5" width="11" style="1" customWidth="1"/>
    <col min="6" max="7" width="12.375" style="1" customWidth="1"/>
    <col min="8" max="8" width="10.75" style="1" customWidth="1"/>
    <col min="9" max="9" width="7.625" style="1" customWidth="1"/>
    <col min="10" max="10" width="10.125" style="1" customWidth="1"/>
    <col min="11" max="12" width="8.625" style="1" customWidth="1"/>
    <col min="13" max="13" width="12.875" style="2" customWidth="1"/>
    <col min="14" max="14" width="8.625" style="1" customWidth="1"/>
    <col min="15" max="16384" width="8.625" style="1"/>
  </cols>
  <sheetData>
    <row r="1" spans="1:15" ht="24.95" customHeight="1">
      <c r="A1" s="98" t="s">
        <v>35</v>
      </c>
      <c r="B1" s="98"/>
      <c r="C1" s="98"/>
      <c r="D1" s="98"/>
      <c r="E1" s="98"/>
      <c r="F1" s="98"/>
      <c r="G1" s="98"/>
      <c r="H1" s="98"/>
      <c r="I1" s="98"/>
    </row>
    <row r="2" spans="1:15" ht="25.5" customHeight="1">
      <c r="A2" s="99" t="str">
        <f>'2.1.2项目前期工作费 (架空线路)'!A2:C2</f>
        <v>客户名称：</v>
      </c>
      <c r="B2" s="99"/>
      <c r="C2" s="113"/>
      <c r="D2" s="3"/>
      <c r="E2" s="3"/>
      <c r="F2" s="3"/>
      <c r="G2" s="3"/>
      <c r="H2" s="3"/>
      <c r="I2" s="3"/>
      <c r="J2" s="4"/>
      <c r="K2" s="96"/>
      <c r="L2" s="96"/>
      <c r="M2" s="96"/>
      <c r="N2" s="96"/>
      <c r="O2" s="5"/>
    </row>
    <row r="3" spans="1:15" ht="25.5" customHeight="1">
      <c r="A3" s="94" t="s">
        <v>0</v>
      </c>
      <c r="B3" s="94" t="s">
        <v>49</v>
      </c>
      <c r="C3" s="106" t="s">
        <v>83</v>
      </c>
      <c r="D3" s="106" t="s">
        <v>48</v>
      </c>
      <c r="E3" s="100" t="s">
        <v>28</v>
      </c>
      <c r="F3" s="101"/>
      <c r="G3" s="102"/>
      <c r="H3" s="94" t="s">
        <v>2</v>
      </c>
      <c r="I3" s="94" t="s">
        <v>3</v>
      </c>
      <c r="J3" s="4"/>
      <c r="K3" s="54"/>
      <c r="L3" s="54"/>
      <c r="M3" s="54"/>
      <c r="N3" s="54"/>
      <c r="O3" s="5"/>
    </row>
    <row r="4" spans="1:15" ht="27" customHeight="1">
      <c r="A4" s="95"/>
      <c r="B4" s="95"/>
      <c r="C4" s="106"/>
      <c r="D4" s="106"/>
      <c r="E4" s="53" t="s">
        <v>84</v>
      </c>
      <c r="F4" s="53" t="s">
        <v>85</v>
      </c>
      <c r="G4" s="53" t="s">
        <v>86</v>
      </c>
      <c r="H4" s="95"/>
      <c r="I4" s="95"/>
      <c r="J4" s="4"/>
      <c r="K4" s="5"/>
      <c r="L4" s="5"/>
      <c r="M4" s="5"/>
      <c r="N4" s="5"/>
      <c r="O4" s="5"/>
    </row>
    <row r="5" spans="1:15" ht="24.95" customHeight="1">
      <c r="A5" s="97" t="s">
        <v>82</v>
      </c>
      <c r="B5" s="6" t="s">
        <v>79</v>
      </c>
      <c r="C5" s="55">
        <v>2</v>
      </c>
      <c r="D5" s="46">
        <v>330</v>
      </c>
      <c r="E5" s="39">
        <f>IF(AND(D5=35,C5=1),1.7,IF(AND(D5=110,C5=1),5,IF(AND(D5=220,C5=1),6.7,IF(AND(D5=330,C5=2),16,IF(AND(D5=500,C5=2),24,IF(AND(D5=750,C5=2),32,IF(AND(D5=1000,C5=2),60)))))))</f>
        <v>16</v>
      </c>
      <c r="F5" s="39">
        <f>IF(AND(D5=35,C5=1),3,IF(AND(D5=110,C5=1),7.5,IF(AND(D5=220,C5=1),12,IF(AND(D5=330,C5=2),23,IF(AND(D5=500,C5=2),34,IF(AND(D5=750,C5=2),45,IF(AND(D5=1000,C5=2),82)))))))</f>
        <v>23</v>
      </c>
      <c r="G5" s="39">
        <f>IF(AND(D5=35,C5=1),4,IF(AND(D5=110,C5=1),10.5,IF(AND(D5=220,C5=1),16,IF(AND(D5=330,C5=2),32,IF(AND(D5=500,C5=2),40.8,IF(AND(D5=750,C5=2),55,IF(AND(D5=1000,C5=2),98.4)))))))</f>
        <v>32</v>
      </c>
      <c r="H5" s="8"/>
      <c r="I5" s="15">
        <f>G5*(1-H5)</f>
        <v>32</v>
      </c>
      <c r="J5" s="9"/>
      <c r="K5" s="5"/>
      <c r="L5" s="5"/>
      <c r="M5" s="5"/>
      <c r="N5" s="5"/>
      <c r="O5" s="5"/>
    </row>
    <row r="6" spans="1:15" ht="24.95" customHeight="1">
      <c r="A6" s="97"/>
      <c r="B6" s="6" t="s">
        <v>80</v>
      </c>
      <c r="C6" s="55">
        <v>1</v>
      </c>
      <c r="D6" s="46">
        <v>110</v>
      </c>
      <c r="E6" s="39">
        <f>IF(AND(D6=35,C6=1),0.7,IF(AND(D6=110,C6=1),1.4,IF(AND(D6=220,C6=1),2,IF(AND(D6=330,C6=2),5,IF(AND(D6=500,C6=2),8,IF(AND(D6=750,C6=2),14,IF(AND(D6=1000,C6=2),22)))))))</f>
        <v>1.4</v>
      </c>
      <c r="F6" s="39">
        <f>IF(AND(D6=35,C6=1),1.5,IF(AND(D6=110,C6=1),2,IF(AND(D6=220,C6=1),3.5,IF(AND(D6=330,C6=2),7,IF(AND(D6=500,C6=2),11,IF(AND(D6=750,C6=2),20,IF(AND(D6=1000,C6=2),30)))))))</f>
        <v>2</v>
      </c>
      <c r="G6" s="39">
        <f>IF(AND(D6=35,C6=1),2,IF(AND(D6=110,C6=1),2.5,IF(AND(D6=220,C6=1),4.2,IF(AND(D6=330,C6=2),10.5,IF(AND(D6=500,C6=2),14.5,IF(AND(D6=750,C6=2),24,IF(AND(D6=1000,C6=2),36)))))))</f>
        <v>2.5</v>
      </c>
      <c r="H6" s="8"/>
      <c r="I6" s="15"/>
      <c r="J6" s="9"/>
      <c r="K6" s="5"/>
      <c r="L6" s="5"/>
      <c r="M6" s="5"/>
      <c r="N6" s="5"/>
      <c r="O6" s="5"/>
    </row>
    <row r="7" spans="1:15" ht="24.95" customHeight="1">
      <c r="A7" s="97"/>
      <c r="B7" s="6" t="s">
        <v>81</v>
      </c>
      <c r="C7" s="55"/>
      <c r="D7" s="46">
        <v>1000</v>
      </c>
      <c r="E7" s="39">
        <f>IF(AND(D7=35),0.35,IF(AND(D7=110),0.6,IF(AND(D7=220),1,IF(AND(D7=330),2,IF(AND(D7=500),3,IF(AND(D7=750),7,IF(AND(D7=1000),11)))))))</f>
        <v>11</v>
      </c>
      <c r="F7" s="39">
        <f>IF(AND(D7=35),0.5,IF(AND(D7=110),0.8,IF(AND(D7=220),1.5,IF(AND(D7=330),3,IF(AND(D7=500),4,IF(AND(D7=750),10,IF(AND(D7=1000),15)))))))</f>
        <v>15</v>
      </c>
      <c r="G7" s="39">
        <f>IF(AND(D7=35),0.7,IF(AND(D7=110),1,IF(AND(D7=220),1.8,IF(AND(D7=330),3.5,IF(AND(D7=500),4.5,IF(AND(D7=750),11.5,IF(AND(D7=1000),18)))))))</f>
        <v>18</v>
      </c>
      <c r="H7" s="8"/>
      <c r="I7" s="15"/>
      <c r="J7" s="10"/>
      <c r="K7" s="10"/>
      <c r="L7" s="10"/>
      <c r="M7" s="1"/>
    </row>
    <row r="8" spans="1:15" s="5" customFormat="1" ht="25.5" customHeight="1">
      <c r="A8" s="82" t="s">
        <v>87</v>
      </c>
      <c r="B8" s="74"/>
      <c r="C8" s="75"/>
      <c r="D8" s="76"/>
      <c r="E8" s="77"/>
      <c r="F8" s="80"/>
      <c r="G8" s="81"/>
      <c r="H8" s="78"/>
      <c r="I8" s="79"/>
      <c r="J8" s="10"/>
      <c r="K8" s="10"/>
      <c r="L8" s="10"/>
    </row>
    <row r="9" spans="1:15" s="5" customFormat="1" ht="24.95" customHeight="1">
      <c r="A9" s="82" t="s">
        <v>88</v>
      </c>
      <c r="B9" s="74"/>
      <c r="C9" s="75"/>
      <c r="D9" s="76"/>
      <c r="E9" s="77"/>
      <c r="F9" s="80"/>
      <c r="G9" s="81"/>
      <c r="H9" s="78"/>
      <c r="I9" s="79"/>
      <c r="J9" s="10"/>
      <c r="K9" s="10"/>
      <c r="L9" s="10"/>
    </row>
    <row r="10" spans="1:15" s="84" customFormat="1" ht="24.95" customHeight="1">
      <c r="A10" s="82" t="s">
        <v>89</v>
      </c>
      <c r="B10" s="74"/>
      <c r="C10" s="83"/>
      <c r="E10" s="85"/>
      <c r="F10" s="86"/>
      <c r="G10" s="87"/>
      <c r="H10" s="88"/>
      <c r="I10" s="89"/>
      <c r="J10" s="90"/>
      <c r="K10" s="90"/>
      <c r="L10" s="90"/>
    </row>
    <row r="11" spans="1:15" s="84" customFormat="1" ht="24.95" customHeight="1">
      <c r="A11" s="82" t="s">
        <v>90</v>
      </c>
      <c r="B11" s="74"/>
      <c r="C11" s="83"/>
      <c r="E11" s="85"/>
      <c r="F11" s="86"/>
      <c r="G11" s="87"/>
      <c r="H11" s="88"/>
      <c r="I11" s="89"/>
      <c r="J11" s="90"/>
      <c r="K11" s="90"/>
      <c r="L11" s="90"/>
    </row>
    <row r="12" spans="1:15" s="84" customFormat="1" ht="24.95" customHeight="1">
      <c r="A12" s="82" t="s">
        <v>91</v>
      </c>
      <c r="B12" s="74"/>
      <c r="C12" s="83"/>
      <c r="E12" s="85"/>
      <c r="F12" s="86"/>
      <c r="G12" s="87"/>
      <c r="H12" s="88"/>
      <c r="I12" s="89"/>
      <c r="J12" s="90"/>
      <c r="K12" s="90"/>
      <c r="L12" s="90"/>
    </row>
  </sheetData>
  <mergeCells count="11">
    <mergeCell ref="A5:A7"/>
    <mergeCell ref="K2:N2"/>
    <mergeCell ref="A1:I1"/>
    <mergeCell ref="E3:G3"/>
    <mergeCell ref="A2:C2"/>
    <mergeCell ref="A3:A4"/>
    <mergeCell ref="B3:B4"/>
    <mergeCell ref="C3:C4"/>
    <mergeCell ref="D3:D4"/>
    <mergeCell ref="H3:H4"/>
    <mergeCell ref="I3:I4"/>
  </mergeCells>
  <phoneticPr fontId="3" type="noConversion"/>
  <dataValidations count="1">
    <dataValidation type="list" allowBlank="1" showInputMessage="1" showErrorMessage="1" sqref="C5:C7">
      <formula1>"1,2"</formula1>
    </dataValidation>
  </dataValidations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showGridLines="0" showZeros="0" showOutlineSymbols="0" workbookViewId="0">
      <selection activeCell="A5" sqref="A5:A6"/>
    </sheetView>
  </sheetViews>
  <sheetFormatPr defaultColWidth="8.625" defaultRowHeight="24.95" customHeight="1"/>
  <cols>
    <col min="1" max="1" width="16.625" style="1" customWidth="1"/>
    <col min="2" max="2" width="20.5" style="1" bestFit="1" customWidth="1"/>
    <col min="3" max="3" width="14.25" style="1" customWidth="1"/>
    <col min="4" max="4" width="11" style="1" customWidth="1"/>
    <col min="5" max="7" width="12.375" style="1" customWidth="1"/>
    <col min="8" max="8" width="10.75" style="1" customWidth="1"/>
    <col min="9" max="11" width="9.75" style="1" bestFit="1" customWidth="1"/>
    <col min="12" max="12" width="8.625" style="1" customWidth="1"/>
    <col min="13" max="13" width="12.875" style="2" customWidth="1"/>
    <col min="14" max="14" width="8.625" style="1" customWidth="1"/>
    <col min="15" max="16384" width="8.625" style="1"/>
  </cols>
  <sheetData>
    <row r="1" spans="1:15" ht="24.95" customHeight="1">
      <c r="A1" s="98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5" ht="25.5" customHeight="1">
      <c r="A2" s="99" t="str">
        <f>'2.1.2项目前期工作费 (架空线路)'!A2:C2</f>
        <v>客户名称：</v>
      </c>
      <c r="B2" s="99"/>
      <c r="C2" s="3"/>
      <c r="D2" s="3"/>
      <c r="E2" s="3"/>
      <c r="F2" s="3"/>
      <c r="G2" s="3"/>
      <c r="H2" s="3"/>
      <c r="I2" s="3"/>
      <c r="J2" s="4"/>
      <c r="K2" s="69"/>
      <c r="L2" s="69"/>
      <c r="M2" s="69"/>
      <c r="N2" s="69"/>
      <c r="O2" s="5"/>
    </row>
    <row r="3" spans="1:15" ht="25.5" customHeight="1">
      <c r="A3" s="94" t="s">
        <v>0</v>
      </c>
      <c r="B3" s="94" t="s">
        <v>49</v>
      </c>
      <c r="C3" s="106" t="s">
        <v>48</v>
      </c>
      <c r="D3" s="100" t="s">
        <v>28</v>
      </c>
      <c r="E3" s="101"/>
      <c r="F3" s="102"/>
      <c r="G3" s="104" t="s">
        <v>96</v>
      </c>
      <c r="H3" s="104" t="s">
        <v>58</v>
      </c>
      <c r="I3" s="110" t="s">
        <v>3</v>
      </c>
      <c r="J3" s="114"/>
      <c r="K3" s="111"/>
      <c r="L3" s="69"/>
      <c r="M3" s="69"/>
      <c r="N3" s="69"/>
      <c r="O3" s="5"/>
    </row>
    <row r="4" spans="1:15" ht="27" customHeight="1">
      <c r="A4" s="95"/>
      <c r="B4" s="95"/>
      <c r="C4" s="106"/>
      <c r="D4" s="68" t="s">
        <v>84</v>
      </c>
      <c r="E4" s="68" t="s">
        <v>85</v>
      </c>
      <c r="F4" s="68" t="s">
        <v>86</v>
      </c>
      <c r="G4" s="105"/>
      <c r="H4" s="105"/>
      <c r="I4" s="68" t="s">
        <v>84</v>
      </c>
      <c r="J4" s="68" t="s">
        <v>85</v>
      </c>
      <c r="K4" s="68" t="s">
        <v>86</v>
      </c>
      <c r="L4" s="5"/>
      <c r="M4" s="5"/>
      <c r="N4" s="5"/>
      <c r="O4" s="5"/>
    </row>
    <row r="5" spans="1:15" ht="24.95" customHeight="1">
      <c r="A5" s="97" t="s">
        <v>93</v>
      </c>
      <c r="B5" s="6" t="s">
        <v>92</v>
      </c>
      <c r="C5" s="46" t="s">
        <v>94</v>
      </c>
      <c r="D5" s="39">
        <v>46</v>
      </c>
      <c r="E5" s="39">
        <v>77</v>
      </c>
      <c r="F5" s="39">
        <v>83</v>
      </c>
      <c r="G5" s="56">
        <v>1</v>
      </c>
      <c r="H5" s="8"/>
      <c r="I5" s="15">
        <f>D5*G5*(1-H5)</f>
        <v>46</v>
      </c>
      <c r="J5" s="15">
        <f>E5*G5*(1-H5)</f>
        <v>77</v>
      </c>
      <c r="K5" s="15">
        <f>F5*G5*(1-H5)</f>
        <v>83</v>
      </c>
      <c r="L5" s="5"/>
      <c r="M5" s="5"/>
      <c r="N5" s="5"/>
      <c r="O5" s="5"/>
    </row>
    <row r="6" spans="1:15" ht="24.95" customHeight="1">
      <c r="A6" s="97"/>
      <c r="B6" s="6" t="s">
        <v>92</v>
      </c>
      <c r="C6" s="46" t="s">
        <v>95</v>
      </c>
      <c r="D6" s="39">
        <v>155</v>
      </c>
      <c r="E6" s="39">
        <v>252</v>
      </c>
      <c r="F6" s="39">
        <v>269</v>
      </c>
      <c r="G6" s="56">
        <v>1</v>
      </c>
      <c r="H6" s="8"/>
      <c r="I6" s="15">
        <f>D6*G6*(1-H6)</f>
        <v>155</v>
      </c>
      <c r="J6" s="15">
        <f>E6*G6*(1-H6)</f>
        <v>252</v>
      </c>
      <c r="K6" s="15">
        <f>F6*G6*(1-H6)</f>
        <v>269</v>
      </c>
      <c r="L6" s="5"/>
      <c r="M6" s="5"/>
      <c r="N6" s="5"/>
      <c r="O6" s="5"/>
    </row>
    <row r="7" spans="1:15" s="5" customFormat="1" ht="25.5" customHeight="1">
      <c r="A7" s="82" t="s">
        <v>97</v>
      </c>
      <c r="B7" s="74"/>
      <c r="C7" s="76"/>
      <c r="D7" s="77"/>
      <c r="E7" s="80"/>
      <c r="F7" s="81"/>
      <c r="G7" s="81"/>
      <c r="H7" s="78"/>
      <c r="I7" s="79"/>
      <c r="J7" s="10"/>
      <c r="K7" s="10"/>
      <c r="L7" s="10"/>
    </row>
  </sheetData>
  <sheetProtection password="C71F" sheet="1" objects="1" scenarios="1"/>
  <mergeCells count="10">
    <mergeCell ref="A5:A6"/>
    <mergeCell ref="G3:G4"/>
    <mergeCell ref="A1:K1"/>
    <mergeCell ref="I3:K3"/>
    <mergeCell ref="A2:B2"/>
    <mergeCell ref="A3:A4"/>
    <mergeCell ref="B3:B4"/>
    <mergeCell ref="C3:C4"/>
    <mergeCell ref="D3:F3"/>
    <mergeCell ref="H3:H4"/>
  </mergeCells>
  <phoneticPr fontId="6" type="noConversion"/>
  <dataValidations count="1">
    <dataValidation type="list" allowBlank="1" showInputMessage="1" showErrorMessage="1" sqref="G5:G6">
      <formula1>"1,1.1"</formula1>
    </dataValidation>
  </dataValidations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showZeros="0" tabSelected="1" showOutlineSymbols="0" workbookViewId="0">
      <selection activeCell="E19" sqref="E19"/>
    </sheetView>
  </sheetViews>
  <sheetFormatPr defaultColWidth="8.625" defaultRowHeight="24.95" customHeight="1"/>
  <cols>
    <col min="1" max="2" width="16.625" style="1" customWidth="1"/>
    <col min="3" max="3" width="11.625" style="1" customWidth="1"/>
    <col min="4" max="4" width="11" style="1" customWidth="1"/>
    <col min="5" max="8" width="12.375" style="1" customWidth="1"/>
    <col min="9" max="12" width="10.75" style="1" customWidth="1"/>
    <col min="13" max="13" width="10.125" style="1" customWidth="1"/>
    <col min="14" max="15" width="8.625" style="1" customWidth="1"/>
    <col min="16" max="16" width="12.875" style="2" customWidth="1"/>
    <col min="17" max="17" width="8.625" style="1" customWidth="1"/>
    <col min="18" max="16384" width="8.625" style="1"/>
  </cols>
  <sheetData>
    <row r="1" spans="1:18" ht="24.95" customHeight="1">
      <c r="A1" s="98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8" ht="25.5" customHeight="1">
      <c r="A2" s="113" t="str">
        <f>'2.1.2项目前期工作费 (架空线路)'!A2:C2</f>
        <v>客户名称：</v>
      </c>
      <c r="B2" s="113"/>
      <c r="C2" s="113"/>
      <c r="D2" s="3"/>
      <c r="E2" s="3"/>
      <c r="F2" s="3"/>
      <c r="G2" s="3"/>
      <c r="H2" s="3"/>
      <c r="I2" s="3"/>
      <c r="J2" s="3"/>
      <c r="K2" s="3"/>
      <c r="L2" s="3"/>
      <c r="M2" s="4"/>
      <c r="N2" s="96"/>
      <c r="O2" s="96"/>
      <c r="P2" s="96"/>
      <c r="Q2" s="96"/>
      <c r="R2" s="5"/>
    </row>
    <row r="3" spans="1:18" ht="24.95" customHeight="1">
      <c r="A3" s="106" t="s">
        <v>0</v>
      </c>
      <c r="B3" s="94" t="s">
        <v>103</v>
      </c>
      <c r="C3" s="106" t="s">
        <v>98</v>
      </c>
      <c r="D3" s="106" t="s">
        <v>48</v>
      </c>
      <c r="E3" s="100" t="s">
        <v>28</v>
      </c>
      <c r="F3" s="101"/>
      <c r="G3" s="102"/>
      <c r="H3" s="104" t="s">
        <v>100</v>
      </c>
      <c r="I3" s="106" t="s">
        <v>2</v>
      </c>
      <c r="J3" s="110" t="s">
        <v>105</v>
      </c>
      <c r="K3" s="114"/>
      <c r="L3" s="111"/>
      <c r="M3" s="10"/>
      <c r="N3" s="10"/>
      <c r="O3" s="10"/>
      <c r="P3" s="1"/>
    </row>
    <row r="4" spans="1:18" ht="24.95" customHeight="1">
      <c r="A4" s="106"/>
      <c r="B4" s="109"/>
      <c r="C4" s="106"/>
      <c r="D4" s="106"/>
      <c r="E4" s="70" t="s">
        <v>84</v>
      </c>
      <c r="F4" s="70" t="s">
        <v>99</v>
      </c>
      <c r="G4" s="72" t="s">
        <v>86</v>
      </c>
      <c r="H4" s="105"/>
      <c r="I4" s="106"/>
      <c r="J4" s="91" t="s">
        <v>84</v>
      </c>
      <c r="K4" s="91" t="s">
        <v>85</v>
      </c>
      <c r="L4" s="92" t="s">
        <v>86</v>
      </c>
      <c r="M4" s="10"/>
      <c r="N4" s="10"/>
      <c r="O4" s="10"/>
      <c r="P4" s="1"/>
    </row>
    <row r="5" spans="1:18" ht="24.95" customHeight="1">
      <c r="A5" s="122" t="s">
        <v>122</v>
      </c>
      <c r="B5" s="6" t="s">
        <v>101</v>
      </c>
      <c r="C5" s="46">
        <v>5</v>
      </c>
      <c r="D5" s="46">
        <v>110</v>
      </c>
      <c r="E5" s="39">
        <f>IF(AND(D5=35),0.23,IF(AND(D5=110),0.28,))</f>
        <v>0.28000000000000003</v>
      </c>
      <c r="F5" s="39">
        <f>IF(AND(D5=35),0.32,IF(AND(D5=110),0.4,))</f>
        <v>0.4</v>
      </c>
      <c r="G5" s="39">
        <f>IF(AND(D5=35),0.43,IF(AND(D5=110),0.5,))</f>
        <v>0.5</v>
      </c>
      <c r="H5" s="47"/>
      <c r="I5" s="8"/>
      <c r="J5" s="15">
        <f>C5*E5*H5*(1-I5)</f>
        <v>0</v>
      </c>
      <c r="K5" s="15">
        <f>C5*F5*H5*(1-I5)</f>
        <v>0</v>
      </c>
      <c r="L5" s="15">
        <f>C5*G5*H5*(1-I5)</f>
        <v>0</v>
      </c>
    </row>
    <row r="6" spans="1:18" ht="24.95" customHeight="1">
      <c r="A6" s="123"/>
      <c r="B6" s="6" t="s">
        <v>106</v>
      </c>
      <c r="C6" s="46">
        <v>8</v>
      </c>
      <c r="D6" s="46">
        <v>110</v>
      </c>
      <c r="E6" s="39">
        <f>IF(AND(D6=35),0.13,IF(AND(D6=110),0.22,))</f>
        <v>0.22</v>
      </c>
      <c r="F6" s="39">
        <f>IF(AND(D6=35),0.19,IF(AND(D6=110),0.32,))</f>
        <v>0.32</v>
      </c>
      <c r="G6" s="39">
        <f>IF(AND(D6=35),0.25,IF(AND(D6=110),0.36,))</f>
        <v>0.36</v>
      </c>
      <c r="H6" s="47"/>
      <c r="I6" s="8"/>
      <c r="J6" s="15">
        <f t="shared" ref="J6:J22" si="0">C6*E6*H6*(1-I6)</f>
        <v>0</v>
      </c>
      <c r="K6" s="15">
        <f t="shared" ref="K6:K22" si="1">C6*F6*H6*(1-I6)</f>
        <v>0</v>
      </c>
      <c r="L6" s="15">
        <f t="shared" ref="L6:L22" si="2">C6*G6*H6*(1-I6)</f>
        <v>0</v>
      </c>
    </row>
    <row r="7" spans="1:18" ht="24.95" customHeight="1">
      <c r="A7" s="123"/>
      <c r="B7" s="6" t="s">
        <v>102</v>
      </c>
      <c r="C7" s="46"/>
      <c r="D7" s="46">
        <v>35</v>
      </c>
      <c r="E7" s="39">
        <v>0.1</v>
      </c>
      <c r="F7" s="39">
        <v>0.15</v>
      </c>
      <c r="G7" s="39">
        <v>0.2</v>
      </c>
      <c r="H7" s="47"/>
      <c r="I7" s="8"/>
      <c r="J7" s="15">
        <f t="shared" si="0"/>
        <v>0</v>
      </c>
      <c r="K7" s="15">
        <f t="shared" si="1"/>
        <v>0</v>
      </c>
      <c r="L7" s="15">
        <f t="shared" si="2"/>
        <v>0</v>
      </c>
    </row>
    <row r="8" spans="1:18" s="5" customFormat="1" ht="24.95" customHeight="1">
      <c r="A8" s="123"/>
      <c r="B8" s="6" t="s">
        <v>104</v>
      </c>
      <c r="C8" s="46"/>
      <c r="D8" s="46">
        <v>500</v>
      </c>
      <c r="E8" s="39">
        <f>IF(AND(D8=220),0.35,IF(AND(D8=330),0.38,IF(AND(D8=500),0.7,)))</f>
        <v>0.7</v>
      </c>
      <c r="F8" s="39">
        <f>IF(AND(D8=220),0.5,IF(AND(D8=330),0.65,IF(AND(D8=500),1,)))</f>
        <v>1</v>
      </c>
      <c r="G8" s="39">
        <f>IF(AND(D8=220),0.62,IF(AND(D8=330),0.72,IF(AND(D8=500),1.19,)))</f>
        <v>1.19</v>
      </c>
      <c r="H8" s="47"/>
      <c r="I8" s="8"/>
      <c r="J8" s="15">
        <f t="shared" si="0"/>
        <v>0</v>
      </c>
      <c r="K8" s="15">
        <f t="shared" si="1"/>
        <v>0</v>
      </c>
      <c r="L8" s="15">
        <f t="shared" si="2"/>
        <v>0</v>
      </c>
      <c r="M8" s="10"/>
      <c r="N8" s="10"/>
      <c r="O8" s="10"/>
    </row>
    <row r="9" spans="1:18" ht="24.95" customHeight="1">
      <c r="A9" s="123"/>
      <c r="B9" s="6" t="s">
        <v>107</v>
      </c>
      <c r="C9" s="46"/>
      <c r="D9" s="46">
        <v>220</v>
      </c>
      <c r="E9" s="39">
        <f>IF(AND(D9=110),0.19,IF(AND(D9=220),0.24))</f>
        <v>0.24</v>
      </c>
      <c r="F9" s="39">
        <f>IF(AND(D9=110),0.23,IF(AND(D9=220),0.32))</f>
        <v>0.32</v>
      </c>
      <c r="G9" s="39">
        <f>IF(AND(D9=110),0.26,IF(AND(D9=220),0.36))</f>
        <v>0.36</v>
      </c>
      <c r="H9" s="47"/>
      <c r="I9" s="8"/>
      <c r="J9" s="15">
        <f t="shared" si="0"/>
        <v>0</v>
      </c>
      <c r="K9" s="15">
        <f t="shared" si="1"/>
        <v>0</v>
      </c>
      <c r="L9" s="15">
        <f t="shared" si="2"/>
        <v>0</v>
      </c>
    </row>
    <row r="10" spans="1:18" ht="24.95" customHeight="1">
      <c r="A10" s="123"/>
      <c r="B10" s="6" t="s">
        <v>108</v>
      </c>
      <c r="C10" s="46"/>
      <c r="D10" s="46">
        <v>220</v>
      </c>
      <c r="E10" s="39">
        <f>IF(AND(D10=110),0.16,IF(AND(D10=220),0.2))</f>
        <v>0.2</v>
      </c>
      <c r="F10" s="39">
        <f>IF(AND(D10=110),0.2,IF(AND(D10=220),0.29))</f>
        <v>0.28999999999999998</v>
      </c>
      <c r="G10" s="39">
        <f>IF(AND(D10=110),0.24,IF(AND(D10=220),0.33))</f>
        <v>0.33</v>
      </c>
      <c r="H10" s="47"/>
      <c r="I10" s="8"/>
      <c r="J10" s="15">
        <f t="shared" si="0"/>
        <v>0</v>
      </c>
      <c r="K10" s="15">
        <f t="shared" si="1"/>
        <v>0</v>
      </c>
      <c r="L10" s="15">
        <f t="shared" si="2"/>
        <v>0</v>
      </c>
    </row>
    <row r="11" spans="1:18" ht="24.95" customHeight="1">
      <c r="A11" s="123"/>
      <c r="B11" s="6" t="s">
        <v>109</v>
      </c>
      <c r="C11" s="46"/>
      <c r="D11" s="46">
        <v>500</v>
      </c>
      <c r="E11" s="39">
        <f>IF(AND(D11=330),0.24,IF(AND(D11=500),0.37))</f>
        <v>0.37</v>
      </c>
      <c r="F11" s="39">
        <f>IF(AND(D11=330),0.35,IF(AND(D11=500),0.51))</f>
        <v>0.51</v>
      </c>
      <c r="G11" s="39">
        <f>IF(AND(D11=330),0.38,IF(AND(D11=500),0.53))</f>
        <v>0.53</v>
      </c>
      <c r="H11" s="47"/>
      <c r="I11" s="8"/>
      <c r="J11" s="15">
        <f t="shared" si="0"/>
        <v>0</v>
      </c>
      <c r="K11" s="15">
        <f t="shared" si="1"/>
        <v>0</v>
      </c>
      <c r="L11" s="15">
        <f t="shared" si="2"/>
        <v>0</v>
      </c>
    </row>
    <row r="12" spans="1:18" ht="24.95" customHeight="1">
      <c r="A12" s="123"/>
      <c r="B12" s="6" t="s">
        <v>110</v>
      </c>
      <c r="C12" s="46"/>
      <c r="D12" s="46">
        <v>330</v>
      </c>
      <c r="E12" s="39">
        <v>0.22</v>
      </c>
      <c r="F12" s="39">
        <v>0.25</v>
      </c>
      <c r="G12" s="39">
        <v>0.28000000000000003</v>
      </c>
      <c r="H12" s="47"/>
      <c r="I12" s="8"/>
      <c r="J12" s="15">
        <f t="shared" si="0"/>
        <v>0</v>
      </c>
      <c r="K12" s="15">
        <f t="shared" si="1"/>
        <v>0</v>
      </c>
      <c r="L12" s="15">
        <f t="shared" si="2"/>
        <v>0</v>
      </c>
    </row>
    <row r="13" spans="1:18" ht="24.95" customHeight="1">
      <c r="A13" s="123"/>
      <c r="B13" s="6" t="s">
        <v>111</v>
      </c>
      <c r="C13" s="46"/>
      <c r="D13" s="46">
        <v>330</v>
      </c>
      <c r="E13" s="39">
        <v>0.12</v>
      </c>
      <c r="F13" s="39">
        <v>0.2</v>
      </c>
      <c r="G13" s="39">
        <v>0.22</v>
      </c>
      <c r="H13" s="47"/>
      <c r="I13" s="8"/>
      <c r="J13" s="15">
        <f t="shared" si="0"/>
        <v>0</v>
      </c>
      <c r="K13" s="15">
        <f t="shared" si="1"/>
        <v>0</v>
      </c>
      <c r="L13" s="15">
        <f t="shared" si="2"/>
        <v>0</v>
      </c>
    </row>
    <row r="14" spans="1:18" ht="24.95" customHeight="1">
      <c r="A14" s="123"/>
      <c r="B14" s="6" t="s">
        <v>120</v>
      </c>
      <c r="C14" s="46"/>
      <c r="D14" s="46">
        <v>500</v>
      </c>
      <c r="E14" s="39">
        <v>0.3</v>
      </c>
      <c r="F14" s="39">
        <v>0.34</v>
      </c>
      <c r="G14" s="39">
        <v>0.38</v>
      </c>
      <c r="H14" s="47"/>
      <c r="I14" s="8"/>
      <c r="J14" s="15">
        <f t="shared" si="0"/>
        <v>0</v>
      </c>
      <c r="K14" s="15">
        <f t="shared" si="1"/>
        <v>0</v>
      </c>
      <c r="L14" s="15">
        <f t="shared" si="2"/>
        <v>0</v>
      </c>
    </row>
    <row r="15" spans="1:18" ht="24.95" customHeight="1">
      <c r="A15" s="123"/>
      <c r="B15" s="6" t="s">
        <v>112</v>
      </c>
      <c r="C15" s="46"/>
      <c r="D15" s="46">
        <v>500</v>
      </c>
      <c r="E15" s="39">
        <v>0.15</v>
      </c>
      <c r="F15" s="39">
        <v>0.2</v>
      </c>
      <c r="G15" s="39">
        <v>0.24</v>
      </c>
      <c r="H15" s="47"/>
      <c r="I15" s="8"/>
      <c r="J15" s="15">
        <f t="shared" si="0"/>
        <v>0</v>
      </c>
      <c r="K15" s="15">
        <f t="shared" si="1"/>
        <v>0</v>
      </c>
      <c r="L15" s="15">
        <f t="shared" si="2"/>
        <v>0</v>
      </c>
    </row>
    <row r="16" spans="1:18" ht="24.95" customHeight="1">
      <c r="A16" s="123"/>
      <c r="B16" s="6" t="s">
        <v>113</v>
      </c>
      <c r="C16" s="46"/>
      <c r="D16" s="46">
        <v>1000</v>
      </c>
      <c r="E16" s="39">
        <f>IF(AND(D16=750),0.6,IF(AND(D16=1000),0.9))</f>
        <v>0.9</v>
      </c>
      <c r="F16" s="39">
        <f>IF(AND(D16=750),0.85,IF(AND(D16=1000),1.1))</f>
        <v>1.1000000000000001</v>
      </c>
      <c r="G16" s="39">
        <f>IF(AND(D16=750),0.95,IF(AND(D16=1000),1.36))</f>
        <v>1.36</v>
      </c>
      <c r="H16" s="47"/>
      <c r="I16" s="8"/>
      <c r="J16" s="15">
        <f t="shared" si="0"/>
        <v>0</v>
      </c>
      <c r="K16" s="15">
        <f t="shared" si="1"/>
        <v>0</v>
      </c>
      <c r="L16" s="15">
        <f t="shared" si="2"/>
        <v>0</v>
      </c>
    </row>
    <row r="17" spans="1:12" ht="24.95" customHeight="1">
      <c r="A17" s="123"/>
      <c r="B17" s="6" t="s">
        <v>121</v>
      </c>
      <c r="C17" s="46"/>
      <c r="D17" s="46">
        <v>1000</v>
      </c>
      <c r="E17" s="39">
        <f>IF(AND(D17=750),0.39,IF(AND(D17=1000),0.67))</f>
        <v>0.67</v>
      </c>
      <c r="F17" s="39">
        <f>IF(AND(D17=750),0.63,IF(AND(D17=1000),0.98))</f>
        <v>0.98</v>
      </c>
      <c r="G17" s="39">
        <f>IF(AND(D17=750),0.7,IF(AND(D17=1000),1.04))</f>
        <v>1.04</v>
      </c>
      <c r="H17" s="47"/>
      <c r="I17" s="8"/>
      <c r="J17" s="15">
        <f t="shared" si="0"/>
        <v>0</v>
      </c>
      <c r="K17" s="15">
        <f t="shared" si="1"/>
        <v>0</v>
      </c>
      <c r="L17" s="15">
        <f t="shared" si="2"/>
        <v>0</v>
      </c>
    </row>
    <row r="18" spans="1:12" ht="24.95" customHeight="1">
      <c r="A18" s="123"/>
      <c r="B18" s="6" t="s">
        <v>114</v>
      </c>
      <c r="C18" s="46"/>
      <c r="D18" s="46">
        <v>750</v>
      </c>
      <c r="E18" s="39">
        <f>IF(AND(D18=750),0.29,IF(AND(D18=1000),0.43))</f>
        <v>0.28999999999999998</v>
      </c>
      <c r="F18" s="39">
        <f>IF(AND(D18=750),0.4,IF(AND(D18=1000),0.62))</f>
        <v>0.4</v>
      </c>
      <c r="G18" s="39">
        <f>IF(AND(D18=750),0.45,IF(AND(D18=1000),0.65))</f>
        <v>0.45</v>
      </c>
      <c r="H18" s="47"/>
      <c r="I18" s="8"/>
      <c r="J18" s="15">
        <f t="shared" si="0"/>
        <v>0</v>
      </c>
      <c r="K18" s="15">
        <f t="shared" si="1"/>
        <v>0</v>
      </c>
      <c r="L18" s="15">
        <f t="shared" si="2"/>
        <v>0</v>
      </c>
    </row>
    <row r="19" spans="1:12" ht="24.95" customHeight="1">
      <c r="A19" s="97" t="s">
        <v>123</v>
      </c>
      <c r="B19" s="6" t="s">
        <v>115</v>
      </c>
      <c r="C19" s="46"/>
      <c r="D19" s="46" t="s">
        <v>124</v>
      </c>
      <c r="E19" s="39" t="e">
        <f>IF(AND(D19=±500),0.22,IF(AND(D19=±800),0.57))</f>
        <v>#NAME?</v>
      </c>
      <c r="F19" s="39" t="b">
        <f>IF(AND(D19=750),0.4,IF(AND(D19=1000),0.62))</f>
        <v>0</v>
      </c>
      <c r="G19" s="39" t="b">
        <f>IF(AND(D19=750),0.45,IF(AND(D19=1000),0.65))</f>
        <v>0</v>
      </c>
      <c r="H19" s="47"/>
      <c r="I19" s="8"/>
      <c r="J19" s="15" t="e">
        <f t="shared" si="0"/>
        <v>#NAME?</v>
      </c>
      <c r="K19" s="15">
        <f t="shared" si="1"/>
        <v>0</v>
      </c>
      <c r="L19" s="15">
        <f t="shared" si="2"/>
        <v>0</v>
      </c>
    </row>
    <row r="20" spans="1:12" ht="24.95" customHeight="1">
      <c r="A20" s="97"/>
      <c r="B20" s="6" t="s">
        <v>117</v>
      </c>
      <c r="C20" s="46"/>
      <c r="D20" s="46" t="s">
        <v>116</v>
      </c>
      <c r="E20" s="39">
        <f>IF(AND(D20=35),0.1,IF(AND(D20=110,C20&gt;10,C20&lt;=30),0.19,IF(AND(D20=110,C20&gt;30),0.16,)))</f>
        <v>0</v>
      </c>
      <c r="F20" s="39">
        <f>IF(AND(D20=35),0.15,IF(AND(D20=110,C20&gt;10,C20&lt;=30),0.23,IF(AND(D20=110,C20&gt;30),0.2,)))</f>
        <v>0</v>
      </c>
      <c r="G20" s="39">
        <f>IF(AND(D20=35),0.2,IF(AND(D20=110,C20&gt;10,C20&lt;=30),0.26,IF(AND(D20=110,C20&gt;30),0.24,)))</f>
        <v>0</v>
      </c>
      <c r="H20" s="47"/>
      <c r="I20" s="8"/>
      <c r="J20" s="15">
        <f t="shared" si="0"/>
        <v>0</v>
      </c>
      <c r="K20" s="15">
        <f t="shared" si="1"/>
        <v>0</v>
      </c>
      <c r="L20" s="15">
        <f t="shared" si="2"/>
        <v>0</v>
      </c>
    </row>
    <row r="21" spans="1:12" ht="24.95" customHeight="1">
      <c r="A21" s="97"/>
      <c r="B21" s="6" t="s">
        <v>118</v>
      </c>
      <c r="C21" s="46"/>
      <c r="D21" s="46" t="s">
        <v>116</v>
      </c>
      <c r="E21" s="39">
        <f>IF(AND(D21=35),0.1,IF(AND(D21=110,C21&gt;10,C21&lt;=30),0.19,IF(AND(D21=110,C21&gt;30),0.16,)))</f>
        <v>0</v>
      </c>
      <c r="F21" s="39">
        <f>IF(AND(D21=35),0.15,IF(AND(D21=110,C21&gt;10,C21&lt;=30),0.23,IF(AND(D21=110,C21&gt;30),0.2,)))</f>
        <v>0</v>
      </c>
      <c r="G21" s="39">
        <f>IF(AND(D21=35),0.2,IF(AND(D21=110,C21&gt;10,C21&lt;=30),0.26,IF(AND(D21=110,C21&gt;30),0.24,)))</f>
        <v>0</v>
      </c>
      <c r="H21" s="47"/>
      <c r="I21" s="8"/>
      <c r="J21" s="15">
        <f t="shared" si="0"/>
        <v>0</v>
      </c>
      <c r="K21" s="15">
        <f t="shared" si="1"/>
        <v>0</v>
      </c>
      <c r="L21" s="15">
        <f t="shared" si="2"/>
        <v>0</v>
      </c>
    </row>
    <row r="22" spans="1:12" ht="24.95" customHeight="1">
      <c r="A22" s="97"/>
      <c r="B22" s="6" t="s">
        <v>119</v>
      </c>
      <c r="C22" s="46"/>
      <c r="D22" s="46" t="s">
        <v>116</v>
      </c>
      <c r="E22" s="39">
        <f>IF(AND(D22=35),0.1,IF(AND(D22=110,C22&gt;10,C22&lt;=30),0.19,IF(AND(D22=110,C22&gt;30),0.16,)))</f>
        <v>0</v>
      </c>
      <c r="F22" s="39">
        <f>IF(AND(D22=35),0.15,IF(AND(D22=110,C22&gt;10,C22&lt;=30),0.23,IF(AND(D22=110,C22&gt;30),0.2,)))</f>
        <v>0</v>
      </c>
      <c r="G22" s="39">
        <f>IF(AND(D22=35),0.2,IF(AND(D22=110,C22&gt;10,C22&lt;=30),0.26,IF(AND(D22=110,C22&gt;30),0.24,)))</f>
        <v>0</v>
      </c>
      <c r="H22" s="47"/>
      <c r="I22" s="8"/>
      <c r="J22" s="15">
        <f t="shared" si="0"/>
        <v>0</v>
      </c>
      <c r="K22" s="15">
        <f t="shared" si="1"/>
        <v>0</v>
      </c>
      <c r="L22" s="15">
        <f t="shared" si="2"/>
        <v>0</v>
      </c>
    </row>
  </sheetData>
  <mergeCells count="13">
    <mergeCell ref="A5:A18"/>
    <mergeCell ref="A19:A22"/>
    <mergeCell ref="A3:A4"/>
    <mergeCell ref="C3:C4"/>
    <mergeCell ref="H3:H4"/>
    <mergeCell ref="J3:L3"/>
    <mergeCell ref="A1:L1"/>
    <mergeCell ref="A2:C2"/>
    <mergeCell ref="N2:Q2"/>
    <mergeCell ref="D3:D4"/>
    <mergeCell ref="E3:G3"/>
    <mergeCell ref="B3:B4"/>
    <mergeCell ref="I3:I4"/>
  </mergeCells>
  <phoneticPr fontId="6" type="noConversion"/>
  <dataValidations count="9">
    <dataValidation type="list" allowBlank="1" showInputMessage="1" showErrorMessage="1" sqref="D9:D10">
      <formula1>"110,220"</formula1>
    </dataValidation>
    <dataValidation type="list" allowBlank="1" showInputMessage="1" showErrorMessage="1" sqref="D5:D6">
      <formula1>"35,110"</formula1>
    </dataValidation>
    <dataValidation type="list" allowBlank="1" showInputMessage="1" showErrorMessage="1" sqref="D7">
      <formula1>"35"</formula1>
    </dataValidation>
    <dataValidation type="list" allowBlank="1" showInputMessage="1" showErrorMessage="1" sqref="D8">
      <formula1>"220,330,500"</formula1>
    </dataValidation>
    <dataValidation type="list" allowBlank="1" showInputMessage="1" showErrorMessage="1" sqref="D11">
      <formula1>"330,500,"</formula1>
    </dataValidation>
    <dataValidation type="list" allowBlank="1" showInputMessage="1" showErrorMessage="1" sqref="D12:D13">
      <formula1>"330"</formula1>
    </dataValidation>
    <dataValidation type="list" allowBlank="1" showInputMessage="1" showErrorMessage="1" sqref="D14:D15">
      <formula1>"500"</formula1>
    </dataValidation>
    <dataValidation type="list" allowBlank="1" showInputMessage="1" showErrorMessage="1" sqref="D16:D18">
      <formula1>"750,1000"</formula1>
    </dataValidation>
    <dataValidation type="list" allowBlank="1" showInputMessage="1" showErrorMessage="1" sqref="D19:D22">
      <formula1>"±500,±800,"</formula1>
    </dataValidation>
  </dataValidations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H6"/>
  <sheetViews>
    <sheetView workbookViewId="0">
      <selection activeCell="F15" sqref="F15"/>
    </sheetView>
  </sheetViews>
  <sheetFormatPr defaultRowHeight="14.25"/>
  <cols>
    <col min="1" max="1" width="12.5" style="30" customWidth="1"/>
    <col min="2" max="2" width="16.75" style="30" customWidth="1"/>
    <col min="3" max="3" width="31.75" style="30" customWidth="1"/>
    <col min="4" max="16384" width="9" style="30"/>
  </cols>
  <sheetData>
    <row r="1" spans="1:8" ht="30" customHeight="1">
      <c r="A1" s="119" t="s">
        <v>36</v>
      </c>
      <c r="B1" s="119"/>
      <c r="C1" s="119"/>
      <c r="D1" s="119"/>
      <c r="E1" s="119"/>
      <c r="F1" s="119"/>
      <c r="G1" s="119"/>
      <c r="H1" s="119"/>
    </row>
    <row r="2" spans="1:8" ht="30" customHeight="1">
      <c r="A2" s="118" t="s">
        <v>21</v>
      </c>
      <c r="B2" s="118"/>
      <c r="C2" s="118"/>
      <c r="D2" s="31"/>
      <c r="E2" s="31"/>
      <c r="F2" s="31"/>
      <c r="G2" s="31"/>
      <c r="H2" s="31"/>
    </row>
    <row r="3" spans="1:8" ht="30" customHeight="1">
      <c r="A3" s="116" t="s">
        <v>0</v>
      </c>
      <c r="B3" s="116" t="s">
        <v>1</v>
      </c>
      <c r="C3" s="116" t="s">
        <v>22</v>
      </c>
      <c r="D3" s="116" t="s">
        <v>26</v>
      </c>
      <c r="E3" s="120" t="s">
        <v>28</v>
      </c>
      <c r="F3" s="121"/>
      <c r="G3" s="116" t="s">
        <v>2</v>
      </c>
      <c r="H3" s="116" t="s">
        <v>3</v>
      </c>
    </row>
    <row r="4" spans="1:8" ht="30" customHeight="1">
      <c r="A4" s="117"/>
      <c r="B4" s="117"/>
      <c r="C4" s="117"/>
      <c r="D4" s="117"/>
      <c r="E4" s="32" t="s">
        <v>27</v>
      </c>
      <c r="F4" s="32" t="s">
        <v>4</v>
      </c>
      <c r="G4" s="117"/>
      <c r="H4" s="117"/>
    </row>
    <row r="5" spans="1:8" ht="30" customHeight="1">
      <c r="A5" s="115"/>
      <c r="B5" s="33" t="s">
        <v>24</v>
      </c>
      <c r="C5" s="32" t="s">
        <v>23</v>
      </c>
      <c r="D5" s="34">
        <f>'2.1.1项目前期工作费'!D5</f>
        <v>0</v>
      </c>
      <c r="E5" s="35">
        <v>5.0000000000000001E-3</v>
      </c>
      <c r="F5" s="36">
        <f>D5*E5</f>
        <v>0</v>
      </c>
      <c r="G5" s="37"/>
      <c r="H5" s="38">
        <f>F5*(1-G5)</f>
        <v>0</v>
      </c>
    </row>
    <row r="6" spans="1:8" ht="30" customHeight="1">
      <c r="A6" s="115"/>
      <c r="B6" s="33" t="s">
        <v>25</v>
      </c>
      <c r="C6" s="32" t="s">
        <v>23</v>
      </c>
      <c r="D6" s="34" t="e">
        <f>'2.1.1项目前期工作费'!#REF!</f>
        <v>#REF!</v>
      </c>
      <c r="E6" s="35">
        <v>1.2999999999999999E-2</v>
      </c>
      <c r="F6" s="36" t="e">
        <f>D6*E6</f>
        <v>#REF!</v>
      </c>
      <c r="G6" s="37"/>
      <c r="H6" s="38" t="e">
        <f>F6*(1-G6)</f>
        <v>#REF!</v>
      </c>
    </row>
  </sheetData>
  <mergeCells count="10">
    <mergeCell ref="A5:A6"/>
    <mergeCell ref="B3:B4"/>
    <mergeCell ref="A2:C2"/>
    <mergeCell ref="A1:H1"/>
    <mergeCell ref="A3:A4"/>
    <mergeCell ref="C3:C4"/>
    <mergeCell ref="D3:D4"/>
    <mergeCell ref="E3:F3"/>
    <mergeCell ref="G3:G4"/>
    <mergeCell ref="H3:H4"/>
  </mergeCells>
  <phoneticPr fontId="6" type="noConversion"/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H6"/>
  <sheetViews>
    <sheetView workbookViewId="0">
      <selection activeCell="D5" sqref="D5:D6"/>
    </sheetView>
  </sheetViews>
  <sheetFormatPr defaultRowHeight="14.25"/>
  <cols>
    <col min="1" max="1" width="14.875" style="30" customWidth="1"/>
    <col min="2" max="2" width="23.875" style="30" customWidth="1"/>
    <col min="3" max="3" width="25.5" style="30" customWidth="1"/>
    <col min="4" max="4" width="18" style="30" customWidth="1"/>
    <col min="5" max="5" width="13.625" style="30" customWidth="1"/>
    <col min="6" max="6" width="14.75" style="30" customWidth="1"/>
    <col min="7" max="16384" width="9" style="30"/>
  </cols>
  <sheetData>
    <row r="1" spans="1:8" ht="25.5">
      <c r="A1" s="119" t="s">
        <v>37</v>
      </c>
      <c r="B1" s="119"/>
      <c r="C1" s="119"/>
      <c r="D1" s="119"/>
      <c r="E1" s="119"/>
      <c r="F1" s="119"/>
      <c r="G1" s="119"/>
      <c r="H1" s="119"/>
    </row>
    <row r="2" spans="1:8" ht="30" customHeight="1">
      <c r="A2" s="118" t="s">
        <v>21</v>
      </c>
      <c r="B2" s="118"/>
      <c r="C2" s="118"/>
      <c r="D2" s="31"/>
      <c r="E2" s="31"/>
      <c r="F2" s="31"/>
      <c r="G2" s="31"/>
      <c r="H2" s="31"/>
    </row>
    <row r="3" spans="1:8" ht="30" customHeight="1">
      <c r="A3" s="116" t="s">
        <v>0</v>
      </c>
      <c r="B3" s="116" t="s">
        <v>1</v>
      </c>
      <c r="C3" s="116" t="s">
        <v>22</v>
      </c>
      <c r="D3" s="116" t="s">
        <v>26</v>
      </c>
      <c r="E3" s="120" t="s">
        <v>28</v>
      </c>
      <c r="F3" s="121"/>
      <c r="G3" s="116" t="s">
        <v>2</v>
      </c>
      <c r="H3" s="116" t="s">
        <v>3</v>
      </c>
    </row>
    <row r="4" spans="1:8" ht="30" customHeight="1">
      <c r="A4" s="117"/>
      <c r="B4" s="117"/>
      <c r="C4" s="117"/>
      <c r="D4" s="117"/>
      <c r="E4" s="32" t="s">
        <v>27</v>
      </c>
      <c r="F4" s="32" t="s">
        <v>4</v>
      </c>
      <c r="G4" s="117"/>
      <c r="H4" s="117"/>
    </row>
    <row r="5" spans="1:8" ht="30" customHeight="1">
      <c r="A5" s="115"/>
      <c r="B5" s="33" t="s">
        <v>24</v>
      </c>
      <c r="C5" s="32" t="s">
        <v>23</v>
      </c>
      <c r="D5" s="34">
        <f>'1.1项目法人管理经费'!D5</f>
        <v>0</v>
      </c>
      <c r="E5" s="35">
        <v>4.0000000000000001E-3</v>
      </c>
      <c r="F5" s="36">
        <f>D5*E5</f>
        <v>0</v>
      </c>
      <c r="G5" s="37"/>
      <c r="H5" s="38">
        <f>F5*(1-G5)</f>
        <v>0</v>
      </c>
    </row>
    <row r="6" spans="1:8" ht="30" customHeight="1">
      <c r="A6" s="115"/>
      <c r="B6" s="33" t="s">
        <v>25</v>
      </c>
      <c r="C6" s="32" t="s">
        <v>23</v>
      </c>
      <c r="D6" s="34">
        <f>'1.1项目法人管理经费'!D6</f>
        <v>0</v>
      </c>
      <c r="E6" s="35">
        <v>8.5000000000000006E-3</v>
      </c>
      <c r="F6" s="36">
        <f>D6*E6</f>
        <v>0</v>
      </c>
      <c r="G6" s="37"/>
      <c r="H6" s="38">
        <f>F6*(1-G6)</f>
        <v>0</v>
      </c>
    </row>
  </sheetData>
  <mergeCells count="10">
    <mergeCell ref="A5:A6"/>
    <mergeCell ref="B3:B4"/>
    <mergeCell ref="A2:C2"/>
    <mergeCell ref="A1:H1"/>
    <mergeCell ref="A3:A4"/>
    <mergeCell ref="C3:C4"/>
    <mergeCell ref="D3:D4"/>
    <mergeCell ref="E3:F3"/>
    <mergeCell ref="G3:G4"/>
    <mergeCell ref="H3:H4"/>
  </mergeCells>
  <phoneticPr fontId="6" type="noConversion"/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H6"/>
  <sheetViews>
    <sheetView workbookViewId="0">
      <selection activeCell="D5" sqref="D5:D6"/>
    </sheetView>
  </sheetViews>
  <sheetFormatPr defaultRowHeight="14.25"/>
  <cols>
    <col min="1" max="1" width="15.25" style="30" customWidth="1"/>
    <col min="2" max="2" width="18.75" style="30" customWidth="1"/>
    <col min="3" max="3" width="27.375" style="30" customWidth="1"/>
    <col min="4" max="4" width="13.875" style="30" customWidth="1"/>
    <col min="5" max="5" width="15.5" style="30" customWidth="1"/>
    <col min="6" max="6" width="18.375" style="30" customWidth="1"/>
    <col min="7" max="16384" width="9" style="30"/>
  </cols>
  <sheetData>
    <row r="1" spans="1:8" ht="25.5">
      <c r="A1" s="119" t="s">
        <v>38</v>
      </c>
      <c r="B1" s="119"/>
      <c r="C1" s="119"/>
      <c r="D1" s="119"/>
      <c r="E1" s="119"/>
      <c r="F1" s="119"/>
      <c r="G1" s="119"/>
      <c r="H1" s="119"/>
    </row>
    <row r="2" spans="1:8" ht="30" customHeight="1">
      <c r="A2" s="118" t="s">
        <v>21</v>
      </c>
      <c r="B2" s="118"/>
      <c r="C2" s="118"/>
      <c r="D2" s="31"/>
      <c r="E2" s="31"/>
      <c r="F2" s="31"/>
      <c r="G2" s="31"/>
      <c r="H2" s="31"/>
    </row>
    <row r="3" spans="1:8" ht="30" customHeight="1">
      <c r="A3" s="116" t="s">
        <v>0</v>
      </c>
      <c r="B3" s="116" t="s">
        <v>1</v>
      </c>
      <c r="C3" s="116" t="s">
        <v>22</v>
      </c>
      <c r="D3" s="116" t="s">
        <v>26</v>
      </c>
      <c r="E3" s="120" t="s">
        <v>28</v>
      </c>
      <c r="F3" s="121"/>
      <c r="G3" s="116" t="s">
        <v>2</v>
      </c>
      <c r="H3" s="116" t="s">
        <v>3</v>
      </c>
    </row>
    <row r="4" spans="1:8" ht="30" customHeight="1">
      <c r="A4" s="117"/>
      <c r="B4" s="117"/>
      <c r="C4" s="117"/>
      <c r="D4" s="117"/>
      <c r="E4" s="32" t="s">
        <v>27</v>
      </c>
      <c r="F4" s="32" t="s">
        <v>4</v>
      </c>
      <c r="G4" s="117"/>
      <c r="H4" s="117"/>
    </row>
    <row r="5" spans="1:8" ht="30" customHeight="1">
      <c r="A5" s="115"/>
      <c r="B5" s="33" t="s">
        <v>24</v>
      </c>
      <c r="C5" s="32" t="s">
        <v>23</v>
      </c>
      <c r="D5" s="34">
        <f>'1.1项目法人管理经费'!D5</f>
        <v>0</v>
      </c>
      <c r="E5" s="35">
        <v>1.5E-3</v>
      </c>
      <c r="F5" s="36">
        <f>D5*E5</f>
        <v>0</v>
      </c>
      <c r="G5" s="37"/>
      <c r="H5" s="38">
        <f>F5*(1-G5)</f>
        <v>0</v>
      </c>
    </row>
    <row r="6" spans="1:8" ht="30" customHeight="1">
      <c r="A6" s="115"/>
      <c r="B6" s="33" t="s">
        <v>25</v>
      </c>
      <c r="C6" s="32" t="s">
        <v>23</v>
      </c>
      <c r="D6" s="34">
        <f>'1.1项目法人管理经费'!D6</f>
        <v>0</v>
      </c>
      <c r="E6" s="35">
        <v>3.8999999999999998E-3</v>
      </c>
      <c r="F6" s="36">
        <f>D6*E6</f>
        <v>0</v>
      </c>
      <c r="G6" s="37"/>
      <c r="H6" s="38">
        <f>F6*(1-G6)</f>
        <v>0</v>
      </c>
    </row>
  </sheetData>
  <mergeCells count="10">
    <mergeCell ref="A5:A6"/>
    <mergeCell ref="A1:H1"/>
    <mergeCell ref="A2:C2"/>
    <mergeCell ref="A3:A4"/>
    <mergeCell ref="B3:B4"/>
    <mergeCell ref="C3:C4"/>
    <mergeCell ref="D3:D4"/>
    <mergeCell ref="E3:F3"/>
    <mergeCell ref="G3:G4"/>
    <mergeCell ref="H3:H4"/>
  </mergeCells>
  <phoneticPr fontId="6" type="noConversion"/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H6"/>
  <sheetViews>
    <sheetView workbookViewId="0">
      <selection activeCell="F15" sqref="F15"/>
    </sheetView>
  </sheetViews>
  <sheetFormatPr defaultRowHeight="14.25"/>
  <cols>
    <col min="1" max="1" width="15.25" style="30" customWidth="1"/>
    <col min="2" max="2" width="18.75" style="30" customWidth="1"/>
    <col min="3" max="3" width="27.375" style="30" customWidth="1"/>
    <col min="4" max="4" width="13.875" style="30" customWidth="1"/>
    <col min="5" max="5" width="15.5" style="30" customWidth="1"/>
    <col min="6" max="6" width="18.375" style="30" customWidth="1"/>
    <col min="7" max="16384" width="9" style="30"/>
  </cols>
  <sheetData>
    <row r="1" spans="1:8" ht="25.5">
      <c r="A1" s="119" t="s">
        <v>39</v>
      </c>
      <c r="B1" s="119"/>
      <c r="C1" s="119"/>
      <c r="D1" s="119"/>
      <c r="E1" s="119"/>
      <c r="F1" s="119"/>
      <c r="G1" s="119"/>
      <c r="H1" s="119"/>
    </row>
    <row r="2" spans="1:8" ht="30" customHeight="1">
      <c r="A2" s="118" t="s">
        <v>21</v>
      </c>
      <c r="B2" s="118"/>
      <c r="C2" s="118"/>
      <c r="D2" s="31"/>
      <c r="E2" s="31"/>
      <c r="F2" s="31"/>
      <c r="G2" s="31"/>
      <c r="H2" s="31"/>
    </row>
    <row r="3" spans="1:8" ht="30" customHeight="1">
      <c r="A3" s="116" t="s">
        <v>0</v>
      </c>
      <c r="B3" s="116" t="s">
        <v>1</v>
      </c>
      <c r="C3" s="116" t="s">
        <v>22</v>
      </c>
      <c r="D3" s="116" t="s">
        <v>26</v>
      </c>
      <c r="E3" s="120" t="s">
        <v>28</v>
      </c>
      <c r="F3" s="121"/>
      <c r="G3" s="116" t="s">
        <v>2</v>
      </c>
      <c r="H3" s="116" t="s">
        <v>3</v>
      </c>
    </row>
    <row r="4" spans="1:8" ht="30" customHeight="1">
      <c r="A4" s="117"/>
      <c r="B4" s="117"/>
      <c r="C4" s="117"/>
      <c r="D4" s="117"/>
      <c r="E4" s="32" t="s">
        <v>27</v>
      </c>
      <c r="F4" s="32" t="s">
        <v>4</v>
      </c>
      <c r="G4" s="117"/>
      <c r="H4" s="117"/>
    </row>
    <row r="5" spans="1:8" ht="30" customHeight="1">
      <c r="A5" s="115"/>
      <c r="B5" s="33" t="s">
        <v>24</v>
      </c>
      <c r="C5" s="32" t="s">
        <v>23</v>
      </c>
      <c r="D5" s="34">
        <f>'1.1项目法人管理经费'!D5</f>
        <v>0</v>
      </c>
      <c r="E5" s="35">
        <v>5.0000000000000001E-3</v>
      </c>
      <c r="F5" s="36">
        <f>D5*E5</f>
        <v>0</v>
      </c>
      <c r="G5" s="37"/>
      <c r="H5" s="38">
        <f>F5*(1-G5)</f>
        <v>0</v>
      </c>
    </row>
    <row r="6" spans="1:8" ht="30" customHeight="1">
      <c r="A6" s="115"/>
      <c r="B6" s="33" t="s">
        <v>25</v>
      </c>
      <c r="C6" s="32" t="s">
        <v>23</v>
      </c>
      <c r="D6" s="34">
        <f>'1.1项目法人管理经费'!D6</f>
        <v>0</v>
      </c>
      <c r="E6" s="35">
        <v>1.2999999999999999E-2</v>
      </c>
      <c r="F6" s="36">
        <f>D6*E6</f>
        <v>0</v>
      </c>
      <c r="G6" s="37"/>
      <c r="H6" s="38">
        <f>F6*(1-G6)</f>
        <v>0</v>
      </c>
    </row>
  </sheetData>
  <mergeCells count="10">
    <mergeCell ref="A5:A6"/>
    <mergeCell ref="A1:H1"/>
    <mergeCell ref="A2:C2"/>
    <mergeCell ref="A3:A4"/>
    <mergeCell ref="B3:B4"/>
    <mergeCell ref="C3:C4"/>
    <mergeCell ref="D3:D4"/>
    <mergeCell ref="E3:F3"/>
    <mergeCell ref="G3:G4"/>
    <mergeCell ref="H3:H4"/>
  </mergeCells>
  <phoneticPr fontId="6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8"/>
  <sheetViews>
    <sheetView showGridLines="0" showZeros="0" showOutlineSymbols="0" workbookViewId="0">
      <selection activeCell="A2" sqref="A2:C2"/>
    </sheetView>
  </sheetViews>
  <sheetFormatPr defaultColWidth="8.625" defaultRowHeight="24.95" customHeight="1"/>
  <cols>
    <col min="1" max="1" width="17.75" style="1" customWidth="1"/>
    <col min="2" max="2" width="18.375" style="1" customWidth="1"/>
    <col min="3" max="3" width="24.25" style="1" bestFit="1" customWidth="1"/>
    <col min="4" max="5" width="14.25" style="1" customWidth="1"/>
    <col min="6" max="6" width="11" style="1" customWidth="1"/>
    <col min="7" max="7" width="12.375" style="1" customWidth="1"/>
    <col min="8" max="9" width="7.625" style="1" customWidth="1"/>
    <col min="10" max="10" width="10.125" style="1" customWidth="1"/>
    <col min="11" max="12" width="8.625" style="1" customWidth="1"/>
    <col min="13" max="13" width="12.875" style="2" customWidth="1"/>
    <col min="14" max="14" width="8.625" style="1" customWidth="1"/>
    <col min="15" max="16384" width="8.625" style="1"/>
  </cols>
  <sheetData>
    <row r="1" spans="1:15" ht="24.95" customHeight="1">
      <c r="A1" s="98" t="s">
        <v>41</v>
      </c>
      <c r="B1" s="98"/>
      <c r="C1" s="98"/>
      <c r="D1" s="98"/>
      <c r="E1" s="98"/>
      <c r="F1" s="98"/>
      <c r="G1" s="98"/>
      <c r="H1" s="98"/>
      <c r="I1" s="98"/>
    </row>
    <row r="2" spans="1:15" ht="24.95" customHeight="1">
      <c r="A2" s="99" t="s">
        <v>21</v>
      </c>
      <c r="B2" s="99"/>
      <c r="C2" s="99"/>
      <c r="D2" s="3"/>
      <c r="E2" s="3"/>
      <c r="F2" s="3"/>
      <c r="G2" s="3"/>
      <c r="H2" s="3"/>
      <c r="I2" s="3"/>
    </row>
    <row r="3" spans="1:15" ht="25.5" customHeight="1">
      <c r="A3" s="94" t="s">
        <v>0</v>
      </c>
      <c r="B3" s="94" t="s">
        <v>49</v>
      </c>
      <c r="C3" s="94" t="s">
        <v>22</v>
      </c>
      <c r="D3" s="94" t="s">
        <v>26</v>
      </c>
      <c r="E3" s="100" t="s">
        <v>28</v>
      </c>
      <c r="F3" s="101"/>
      <c r="G3" s="102"/>
      <c r="H3" s="94" t="s">
        <v>2</v>
      </c>
      <c r="I3" s="94" t="s">
        <v>3</v>
      </c>
      <c r="J3" s="4"/>
      <c r="K3" s="96"/>
      <c r="L3" s="96"/>
      <c r="M3" s="96"/>
      <c r="N3" s="96"/>
      <c r="O3" s="5"/>
    </row>
    <row r="4" spans="1:15" ht="27" customHeight="1">
      <c r="A4" s="95"/>
      <c r="B4" s="95"/>
      <c r="C4" s="95"/>
      <c r="D4" s="95"/>
      <c r="E4" s="45" t="s">
        <v>48</v>
      </c>
      <c r="F4" s="42" t="s">
        <v>27</v>
      </c>
      <c r="G4" s="42" t="s">
        <v>50</v>
      </c>
      <c r="H4" s="95"/>
      <c r="I4" s="95"/>
      <c r="J4" s="4"/>
      <c r="K4" s="5"/>
      <c r="L4" s="5"/>
      <c r="M4" s="5"/>
      <c r="N4" s="5"/>
      <c r="O4" s="5"/>
    </row>
    <row r="5" spans="1:15" ht="24.95" customHeight="1">
      <c r="A5" s="97"/>
      <c r="B5" s="6" t="s">
        <v>42</v>
      </c>
      <c r="C5" s="43" t="s">
        <v>23</v>
      </c>
      <c r="D5" s="7"/>
      <c r="E5" s="46">
        <v>1000</v>
      </c>
      <c r="F5" s="39">
        <f>IF(E5&lt;=220,3.73,IF(AND(E5=330),3.24,IF(AND(E5=500),2.63,IF(AND(E5=750),2.36,IF(AND(E5=1000),2.19,IF(AND(E5=±500),2.56,IF(AND(E5=±800),2.15,IF(AND(E5=±1100),1.98))))))))</f>
        <v>2.19</v>
      </c>
      <c r="G5" s="47">
        <f>D5*F5/100</f>
        <v>0</v>
      </c>
      <c r="H5" s="8"/>
      <c r="I5" s="15">
        <f>G5*(1-H5)</f>
        <v>0</v>
      </c>
      <c r="J5" s="9"/>
      <c r="K5" s="5"/>
      <c r="L5" s="5"/>
      <c r="M5" s="5"/>
      <c r="N5" s="5"/>
      <c r="O5" s="5"/>
    </row>
    <row r="6" spans="1:15" ht="24.95" customHeight="1">
      <c r="A6" s="97"/>
      <c r="B6" s="6" t="s">
        <v>43</v>
      </c>
      <c r="C6" s="43" t="s">
        <v>44</v>
      </c>
      <c r="D6" s="7"/>
      <c r="E6" s="46">
        <v>300</v>
      </c>
      <c r="F6" s="39">
        <f>IF(E6&lt;=330,1.17,IF(AND(E6&gt;=500,E6&lt;=750),0.95,IF(AND(E6&gt;750,E6&lt;=1000),0.81,IF(AND(E5=±500),1.05,IF(AND(E5=±800),0.94,IF(AND(E5=±1100),0.92))))))</f>
        <v>1.17</v>
      </c>
      <c r="G6" s="47">
        <f>D6*F6/100</f>
        <v>0</v>
      </c>
      <c r="H6" s="8"/>
      <c r="I6" s="15">
        <f>G6*(1-H6)</f>
        <v>0</v>
      </c>
      <c r="J6" s="9"/>
      <c r="K6" s="5"/>
      <c r="L6" s="5"/>
      <c r="M6" s="5"/>
      <c r="N6" s="5"/>
      <c r="O6" s="5"/>
    </row>
    <row r="7" spans="1:15" ht="24.95" customHeight="1">
      <c r="A7" s="97"/>
      <c r="B7" s="6" t="s">
        <v>45</v>
      </c>
      <c r="C7" s="43" t="s">
        <v>23</v>
      </c>
      <c r="D7" s="7"/>
      <c r="E7" s="46">
        <v>301</v>
      </c>
      <c r="F7" s="39">
        <v>3.35</v>
      </c>
      <c r="G7" s="47">
        <f>D7*F7/100</f>
        <v>0</v>
      </c>
      <c r="H7" s="8"/>
      <c r="I7" s="15"/>
      <c r="J7" s="9"/>
      <c r="K7" s="5"/>
      <c r="L7" s="5"/>
      <c r="M7" s="5"/>
      <c r="N7" s="5"/>
      <c r="O7" s="5"/>
    </row>
    <row r="8" spans="1:15" ht="24.95" customHeight="1">
      <c r="A8" s="97"/>
      <c r="B8" s="6" t="s">
        <v>46</v>
      </c>
      <c r="C8" s="43" t="s">
        <v>47</v>
      </c>
      <c r="D8" s="7"/>
      <c r="E8" s="28"/>
      <c r="F8" s="39">
        <v>1.43</v>
      </c>
      <c r="G8" s="47">
        <f t="shared" ref="G8" si="0">D8*F8/100</f>
        <v>0</v>
      </c>
      <c r="H8" s="8"/>
      <c r="I8" s="15"/>
      <c r="J8" s="9"/>
      <c r="K8" s="5"/>
      <c r="L8" s="5"/>
      <c r="M8" s="5"/>
      <c r="N8" s="5"/>
      <c r="O8" s="5"/>
    </row>
  </sheetData>
  <sheetProtection password="C71F" sheet="1" objects="1" scenarios="1"/>
  <mergeCells count="11">
    <mergeCell ref="H3:H4"/>
    <mergeCell ref="I3:I4"/>
    <mergeCell ref="K3:N3"/>
    <mergeCell ref="A5:A8"/>
    <mergeCell ref="A1:I1"/>
    <mergeCell ref="A2:C2"/>
    <mergeCell ref="E3:G3"/>
    <mergeCell ref="A3:A4"/>
    <mergeCell ref="B3:B4"/>
    <mergeCell ref="C3:C4"/>
    <mergeCell ref="D3:D4"/>
  </mergeCells>
  <phoneticPr fontId="6" type="noConversion"/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R9"/>
  <sheetViews>
    <sheetView showGridLines="0" showZeros="0" showOutlineSymbols="0" workbookViewId="0">
      <selection activeCell="A3" sqref="A3:A4"/>
    </sheetView>
  </sheetViews>
  <sheetFormatPr defaultColWidth="8.625" defaultRowHeight="24.95" customHeight="1"/>
  <cols>
    <col min="1" max="1" width="17.75" style="1" customWidth="1"/>
    <col min="2" max="2" width="14.875" style="1" customWidth="1"/>
    <col min="3" max="3" width="35.375" style="1" customWidth="1"/>
    <col min="4" max="4" width="18.625" style="1" bestFit="1" customWidth="1"/>
    <col min="5" max="5" width="10.875" style="1" bestFit="1" customWidth="1"/>
    <col min="6" max="7" width="9.75" style="1" bestFit="1" customWidth="1"/>
    <col min="8" max="8" width="9.75" style="1" customWidth="1"/>
    <col min="9" max="9" width="11.625" style="1" customWidth="1"/>
    <col min="10" max="10" width="12.375" style="1" customWidth="1"/>
    <col min="11" max="12" width="7.625" style="1" customWidth="1"/>
    <col min="13" max="13" width="9.25" style="1" customWidth="1"/>
    <col min="14" max="14" width="10.625" style="1" customWidth="1"/>
    <col min="15" max="15" width="10.125" style="1" customWidth="1"/>
    <col min="16" max="17" width="8.625" style="1" customWidth="1"/>
    <col min="18" max="18" width="12.875" style="2" customWidth="1"/>
    <col min="19" max="19" width="8.625" style="1" customWidth="1"/>
    <col min="20" max="16384" width="8.625" style="1"/>
  </cols>
  <sheetData>
    <row r="1" spans="1:10" ht="24.95" customHeight="1">
      <c r="A1" s="98" t="s">
        <v>29</v>
      </c>
      <c r="B1" s="98"/>
      <c r="C1" s="98"/>
      <c r="D1" s="98"/>
      <c r="E1" s="98"/>
      <c r="F1" s="98"/>
      <c r="G1" s="98"/>
      <c r="H1" s="98"/>
      <c r="I1" s="98"/>
    </row>
    <row r="2" spans="1:10" ht="24.95" customHeight="1">
      <c r="A2" s="99" t="str">
        <f>'1.1项目法人管理经费'!A2:C2</f>
        <v>客户名称：</v>
      </c>
      <c r="B2" s="99"/>
      <c r="C2" s="99"/>
      <c r="D2" s="3"/>
      <c r="E2" s="3"/>
      <c r="F2" s="3"/>
      <c r="G2" s="3"/>
      <c r="H2" s="3"/>
      <c r="I2" s="3"/>
      <c r="J2" s="3"/>
    </row>
    <row r="3" spans="1:10" ht="24.95" customHeight="1">
      <c r="A3" s="94" t="s">
        <v>0</v>
      </c>
      <c r="B3" s="94" t="s">
        <v>49</v>
      </c>
      <c r="C3" s="94" t="s">
        <v>22</v>
      </c>
      <c r="D3" s="94" t="s">
        <v>26</v>
      </c>
      <c r="E3" s="100" t="s">
        <v>28</v>
      </c>
      <c r="F3" s="101"/>
      <c r="G3" s="102"/>
      <c r="H3" s="104" t="s">
        <v>57</v>
      </c>
      <c r="I3" s="94" t="s">
        <v>2</v>
      </c>
      <c r="J3" s="94" t="s">
        <v>3</v>
      </c>
    </row>
    <row r="4" spans="1:10" ht="24.95" customHeight="1">
      <c r="A4" s="95"/>
      <c r="B4" s="95"/>
      <c r="C4" s="95"/>
      <c r="D4" s="95"/>
      <c r="E4" s="45" t="s">
        <v>48</v>
      </c>
      <c r="F4" s="42" t="s">
        <v>27</v>
      </c>
      <c r="G4" s="42" t="s">
        <v>50</v>
      </c>
      <c r="H4" s="105"/>
      <c r="I4" s="95"/>
      <c r="J4" s="95"/>
    </row>
    <row r="5" spans="1:10" ht="24.95" customHeight="1">
      <c r="A5" s="97"/>
      <c r="B5" s="6" t="s">
        <v>42</v>
      </c>
      <c r="C5" s="43" t="s">
        <v>23</v>
      </c>
      <c r="D5" s="7"/>
      <c r="E5" s="46">
        <v>220</v>
      </c>
      <c r="F5" s="56">
        <f>IF(E5&lt;=220,2.29,IF(AND(E5&gt;330,E5&lt;=500),1.75,IF(AND(E5=750),1.55,IF(AND(E5&lt;=1000),1.43,IF(AND(E5=±500),1.58,IF(AND(E5=±800),1.39,IF(AND(E6=±1100),1.22)))))))</f>
        <v>2.29</v>
      </c>
      <c r="G5" s="16">
        <f>D5*F5/100</f>
        <v>0</v>
      </c>
      <c r="H5" s="59">
        <v>1</v>
      </c>
      <c r="I5" s="8"/>
      <c r="J5" s="15">
        <f>G5*(1-I5)</f>
        <v>0</v>
      </c>
    </row>
    <row r="6" spans="1:10" ht="24.95" customHeight="1">
      <c r="A6" s="97"/>
      <c r="B6" s="6" t="s">
        <v>43</v>
      </c>
      <c r="C6" s="43" t="s">
        <v>34</v>
      </c>
      <c r="D6" s="7"/>
      <c r="E6" s="46">
        <v>330</v>
      </c>
      <c r="F6" s="56">
        <f>IF(E6&lt;=220,0.28,IF(AND(E6&gt;=330,E6&lt;=750),0.16,IF(AND(E6=1000),0.15,IF(AND(E6=±500),0.21,IF(AND(E6=±800),0.16,IF(AND(E6=±1100),0.14))))))</f>
        <v>0.16</v>
      </c>
      <c r="G6" s="16">
        <f>D6*F6/100</f>
        <v>0</v>
      </c>
      <c r="H6" s="59">
        <v>1</v>
      </c>
      <c r="I6" s="8"/>
      <c r="J6" s="15">
        <f>G6*(1-I6)</f>
        <v>0</v>
      </c>
    </row>
    <row r="7" spans="1:10" ht="24.95" customHeight="1">
      <c r="A7" s="97"/>
      <c r="B7" s="6" t="s">
        <v>45</v>
      </c>
      <c r="C7" s="43" t="s">
        <v>23</v>
      </c>
      <c r="D7" s="7"/>
      <c r="E7" s="46"/>
      <c r="F7" s="56">
        <v>1.24</v>
      </c>
      <c r="G7" s="16">
        <f>D7*F7/100</f>
        <v>0</v>
      </c>
      <c r="H7" s="59">
        <v>1</v>
      </c>
      <c r="I7" s="8"/>
      <c r="J7" s="15"/>
    </row>
    <row r="8" spans="1:10" ht="24.95" customHeight="1">
      <c r="A8" s="97"/>
      <c r="B8" s="6" t="s">
        <v>46</v>
      </c>
      <c r="C8" s="43" t="s">
        <v>30</v>
      </c>
      <c r="D8" s="7"/>
      <c r="E8" s="28"/>
      <c r="F8" s="56">
        <v>0.34</v>
      </c>
      <c r="G8" s="16">
        <f t="shared" ref="G8" si="0">D8*F8/100</f>
        <v>0</v>
      </c>
      <c r="H8" s="59">
        <v>1</v>
      </c>
      <c r="I8" s="8"/>
      <c r="J8" s="15"/>
    </row>
    <row r="9" spans="1:10" ht="24.95" customHeight="1">
      <c r="A9" s="103" t="s">
        <v>51</v>
      </c>
      <c r="B9" s="103"/>
      <c r="C9" s="103"/>
      <c r="D9" s="103"/>
      <c r="E9" s="103"/>
      <c r="F9" s="103"/>
      <c r="G9" s="103"/>
      <c r="H9" s="103"/>
      <c r="I9" s="103"/>
      <c r="J9" s="103"/>
    </row>
  </sheetData>
  <sheetProtection password="C71F" sheet="1" objects="1" scenarios="1"/>
  <mergeCells count="12">
    <mergeCell ref="J3:J4"/>
    <mergeCell ref="A5:A8"/>
    <mergeCell ref="A9:J9"/>
    <mergeCell ref="A1:I1"/>
    <mergeCell ref="A2:C2"/>
    <mergeCell ref="A3:A4"/>
    <mergeCell ref="B3:B4"/>
    <mergeCell ref="C3:C4"/>
    <mergeCell ref="D3:D4"/>
    <mergeCell ref="E3:G3"/>
    <mergeCell ref="I3:I4"/>
    <mergeCell ref="H3:H4"/>
  </mergeCells>
  <phoneticPr fontId="6" type="noConversion"/>
  <dataValidations count="1">
    <dataValidation type="list" allowBlank="1" showInputMessage="1" showErrorMessage="1" prompt="1_x000a_0.8" sqref="H5:H8">
      <formula1>"1,0.8"</formula1>
    </dataValidation>
  </dataValidations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R10"/>
  <sheetViews>
    <sheetView showGridLines="0" showZeros="0" showOutlineSymbols="0" workbookViewId="0">
      <selection activeCell="A2" sqref="A2:B2"/>
    </sheetView>
  </sheetViews>
  <sheetFormatPr defaultColWidth="8.625" defaultRowHeight="24.95" customHeight="1"/>
  <cols>
    <col min="1" max="1" width="17.75" style="1" customWidth="1"/>
    <col min="2" max="2" width="18.625" style="1" customWidth="1"/>
    <col min="3" max="3" width="36.625" style="1" bestFit="1" customWidth="1"/>
    <col min="4" max="4" width="14.25" style="1" customWidth="1"/>
    <col min="5" max="5" width="16.625" style="1" bestFit="1" customWidth="1"/>
    <col min="6" max="6" width="10" style="1" customWidth="1"/>
    <col min="7" max="8" width="12.375" style="1" customWidth="1"/>
    <col min="9" max="10" width="7.625" style="1" customWidth="1"/>
    <col min="11" max="11" width="9.25" style="1" customWidth="1"/>
    <col min="12" max="12" width="10.625" style="1" customWidth="1"/>
    <col min="13" max="13" width="10.125" style="1" customWidth="1"/>
    <col min="14" max="15" width="8.625" style="1" customWidth="1"/>
    <col min="16" max="16" width="12.875" style="2" customWidth="1"/>
    <col min="17" max="17" width="8.625" style="1" customWidth="1"/>
    <col min="18" max="16384" width="8.625" style="1"/>
  </cols>
  <sheetData>
    <row r="1" spans="1:18" ht="24.95" customHeight="1">
      <c r="A1" s="98" t="s">
        <v>5</v>
      </c>
      <c r="B1" s="98"/>
      <c r="C1" s="98"/>
      <c r="D1" s="98"/>
      <c r="E1" s="98"/>
      <c r="F1" s="98"/>
      <c r="G1" s="98"/>
      <c r="H1" s="98"/>
      <c r="I1" s="98"/>
      <c r="J1" s="98"/>
    </row>
    <row r="2" spans="1:18" ht="24.95" customHeight="1">
      <c r="A2" s="99" t="str">
        <f>'1.2招标费'!A2:C2</f>
        <v>客户名称：</v>
      </c>
      <c r="B2" s="99"/>
      <c r="C2" s="27"/>
      <c r="D2" s="3"/>
      <c r="E2" s="3"/>
      <c r="F2" s="3"/>
      <c r="G2" s="3"/>
      <c r="H2" s="3"/>
      <c r="I2" s="3"/>
      <c r="J2" s="3"/>
    </row>
    <row r="3" spans="1:18" ht="25.5" customHeight="1">
      <c r="A3" s="94" t="s">
        <v>0</v>
      </c>
      <c r="B3" s="94" t="s">
        <v>49</v>
      </c>
      <c r="C3" s="94" t="s">
        <v>22</v>
      </c>
      <c r="D3" s="94" t="s">
        <v>26</v>
      </c>
      <c r="E3" s="100" t="s">
        <v>28</v>
      </c>
      <c r="F3" s="101"/>
      <c r="G3" s="102"/>
      <c r="H3" s="57"/>
      <c r="I3" s="94" t="s">
        <v>2</v>
      </c>
      <c r="J3" s="94" t="s">
        <v>3</v>
      </c>
      <c r="K3" s="4"/>
      <c r="L3" s="5"/>
      <c r="M3" s="4"/>
      <c r="N3" s="96"/>
      <c r="O3" s="96"/>
      <c r="P3" s="96"/>
      <c r="Q3" s="96"/>
      <c r="R3" s="5"/>
    </row>
    <row r="4" spans="1:18" ht="25.5" customHeight="1">
      <c r="A4" s="95"/>
      <c r="B4" s="95"/>
      <c r="C4" s="95"/>
      <c r="D4" s="95"/>
      <c r="E4" s="45" t="s">
        <v>48</v>
      </c>
      <c r="F4" s="42" t="s">
        <v>27</v>
      </c>
      <c r="G4" s="42" t="s">
        <v>50</v>
      </c>
      <c r="H4" s="44"/>
      <c r="I4" s="95"/>
      <c r="J4" s="95"/>
      <c r="K4" s="4"/>
      <c r="L4" s="5"/>
      <c r="M4" s="4"/>
      <c r="N4" s="41"/>
      <c r="O4" s="41"/>
      <c r="P4" s="41"/>
      <c r="Q4" s="41"/>
      <c r="R4" s="5"/>
    </row>
    <row r="5" spans="1:18" ht="29.25" customHeight="1">
      <c r="A5" s="49"/>
      <c r="B5" s="6" t="s">
        <v>42</v>
      </c>
      <c r="C5" s="43" t="s">
        <v>23</v>
      </c>
      <c r="D5" s="7"/>
      <c r="E5" s="46">
        <v>1000</v>
      </c>
      <c r="F5" s="39">
        <f>IF(E5=35,7.75,IF(AND(E5=110),6.15,IF(AND(E5=220),4.46,IF(AND(E5=330),4.1,IF(AND(E5=500),3.32,IF(AND(E5=750),2.83,IF(AND(E5=1000),2.53,IF(AND(E5=±5800),2.92,IF(AND(E5=±800),2.51,IF(AND(E5=±1100),2.49,))))))))))</f>
        <v>2.5299999999999998</v>
      </c>
      <c r="G5" s="47">
        <f>D5*F5/100</f>
        <v>0</v>
      </c>
      <c r="H5" s="47"/>
      <c r="I5" s="8"/>
      <c r="J5" s="15">
        <f>G5*(1-I5)</f>
        <v>0</v>
      </c>
      <c r="K5" s="4"/>
      <c r="L5" s="5"/>
      <c r="M5" s="4"/>
      <c r="N5" s="5"/>
      <c r="O5" s="5"/>
      <c r="P5" s="5"/>
      <c r="Q5" s="5"/>
      <c r="R5" s="5"/>
    </row>
    <row r="6" spans="1:18" ht="24.95" customHeight="1">
      <c r="A6" s="51"/>
      <c r="B6" s="6" t="s">
        <v>45</v>
      </c>
      <c r="C6" s="43" t="s">
        <v>23</v>
      </c>
      <c r="D6" s="7"/>
      <c r="E6" s="46"/>
      <c r="F6" s="39">
        <v>3.1</v>
      </c>
      <c r="G6" s="47">
        <f>D6*F6/100</f>
        <v>0</v>
      </c>
      <c r="H6" s="47"/>
      <c r="I6" s="8"/>
      <c r="J6" s="15"/>
      <c r="K6" s="17">
        <v>18.5</v>
      </c>
      <c r="L6" s="5">
        <f>K6-J6</f>
        <v>18.5</v>
      </c>
      <c r="M6" s="9"/>
      <c r="N6" s="5"/>
      <c r="O6" s="5"/>
      <c r="P6" s="5"/>
      <c r="Q6" s="5"/>
      <c r="R6" s="5"/>
    </row>
    <row r="7" spans="1:18" ht="24.95" customHeight="1">
      <c r="A7" s="50"/>
      <c r="B7" s="6" t="s">
        <v>46</v>
      </c>
      <c r="C7" s="43" t="s">
        <v>30</v>
      </c>
      <c r="D7" s="7"/>
      <c r="E7" s="28"/>
      <c r="F7" s="39">
        <v>1.54</v>
      </c>
      <c r="G7" s="47">
        <f t="shared" ref="G7" si="0">D7*F7/100</f>
        <v>0</v>
      </c>
      <c r="H7" s="47"/>
      <c r="I7" s="8"/>
      <c r="J7" s="15"/>
      <c r="K7" s="10"/>
      <c r="L7" s="10"/>
      <c r="M7" s="10"/>
      <c r="N7" s="10"/>
      <c r="O7" s="10"/>
      <c r="P7" s="1"/>
    </row>
    <row r="8" spans="1:18" ht="24.95" customHeight="1">
      <c r="A8" s="63" t="s">
        <v>54</v>
      </c>
      <c r="C8" s="48"/>
      <c r="D8" s="48"/>
      <c r="E8" s="48"/>
      <c r="F8" s="65"/>
      <c r="G8" s="65"/>
      <c r="H8" s="65"/>
      <c r="I8" s="48"/>
      <c r="J8" s="48"/>
    </row>
    <row r="9" spans="1:18" ht="24.95" customHeight="1">
      <c r="A9" s="52"/>
      <c r="B9" s="52"/>
      <c r="C9" s="52"/>
      <c r="D9" s="52"/>
      <c r="E9" s="52"/>
      <c r="F9" s="61"/>
      <c r="G9" s="61"/>
      <c r="H9" s="61"/>
      <c r="I9" s="52"/>
      <c r="J9" s="52"/>
    </row>
    <row r="10" spans="1:18" ht="24.95" customHeight="1">
      <c r="G10" s="62"/>
    </row>
  </sheetData>
  <mergeCells count="10">
    <mergeCell ref="N3:Q3"/>
    <mergeCell ref="C3:C4"/>
    <mergeCell ref="A1:J1"/>
    <mergeCell ref="A2:B2"/>
    <mergeCell ref="E3:G3"/>
    <mergeCell ref="A3:A4"/>
    <mergeCell ref="B3:B4"/>
    <mergeCell ref="D3:D4"/>
    <mergeCell ref="I3:I4"/>
    <mergeCell ref="J3:J4"/>
  </mergeCells>
  <phoneticPr fontId="6" type="noConversion"/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"/>
  <sheetViews>
    <sheetView showGridLines="0" showZeros="0" showOutlineSymbols="0" workbookViewId="0">
      <selection activeCell="A2" sqref="A2:B2"/>
    </sheetView>
  </sheetViews>
  <sheetFormatPr defaultColWidth="8.625" defaultRowHeight="24.95" customHeight="1"/>
  <cols>
    <col min="1" max="1" width="17.75" style="1" customWidth="1"/>
    <col min="2" max="2" width="18.625" style="1" customWidth="1"/>
    <col min="3" max="3" width="11.875" style="1" bestFit="1" customWidth="1"/>
    <col min="4" max="5" width="14.25" style="1" customWidth="1"/>
    <col min="6" max="6" width="16.625" style="1" bestFit="1" customWidth="1"/>
    <col min="7" max="7" width="10" style="1" customWidth="1"/>
    <col min="8" max="9" width="12.375" style="1" customWidth="1"/>
    <col min="10" max="11" width="7.625" style="1" customWidth="1"/>
    <col min="12" max="12" width="10.125" style="1" customWidth="1"/>
    <col min="13" max="14" width="8.625" style="1" customWidth="1"/>
    <col min="15" max="15" width="12.875" style="2" customWidth="1"/>
    <col min="16" max="16" width="8.625" style="1" customWidth="1"/>
    <col min="17" max="16384" width="8.625" style="1"/>
  </cols>
  <sheetData>
    <row r="1" spans="1:17" ht="24.95" customHeight="1">
      <c r="A1" s="98" t="s">
        <v>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7" ht="24.95" customHeight="1">
      <c r="A2" s="99" t="str">
        <f>'1.2招标费'!A2:C2</f>
        <v>客户名称：</v>
      </c>
      <c r="B2" s="99"/>
      <c r="C2" s="27"/>
      <c r="D2" s="3"/>
      <c r="E2" s="3"/>
      <c r="F2" s="3"/>
      <c r="G2" s="3"/>
      <c r="H2" s="3"/>
      <c r="I2" s="3"/>
      <c r="J2" s="3"/>
      <c r="K2" s="3"/>
    </row>
    <row r="3" spans="1:17" ht="24.95" customHeight="1">
      <c r="A3" s="94" t="s">
        <v>59</v>
      </c>
      <c r="B3" s="94" t="s">
        <v>49</v>
      </c>
      <c r="C3" s="94" t="s">
        <v>22</v>
      </c>
      <c r="D3" s="106" t="s">
        <v>73</v>
      </c>
      <c r="E3" s="106"/>
      <c r="F3" s="64"/>
      <c r="G3" s="66" t="s">
        <v>28</v>
      </c>
      <c r="H3" s="67"/>
      <c r="I3" s="107" t="s">
        <v>57</v>
      </c>
      <c r="J3" s="94" t="s">
        <v>58</v>
      </c>
      <c r="K3" s="94" t="s">
        <v>3</v>
      </c>
    </row>
    <row r="4" spans="1:17" ht="24.95" customHeight="1">
      <c r="A4" s="95"/>
      <c r="B4" s="95"/>
      <c r="C4" s="95"/>
      <c r="D4" s="73" t="s">
        <v>74</v>
      </c>
      <c r="E4" s="55" t="s">
        <v>75</v>
      </c>
      <c r="F4" s="45" t="s">
        <v>48</v>
      </c>
      <c r="G4" s="60" t="s">
        <v>55</v>
      </c>
      <c r="H4" s="60" t="s">
        <v>50</v>
      </c>
      <c r="I4" s="108"/>
      <c r="J4" s="95"/>
      <c r="K4" s="95"/>
    </row>
    <row r="5" spans="1:17" ht="29.25" customHeight="1">
      <c r="A5" s="6"/>
      <c r="B5" s="6" t="s">
        <v>52</v>
      </c>
      <c r="C5" s="55" t="s">
        <v>72</v>
      </c>
      <c r="D5" s="7"/>
      <c r="E5" s="7"/>
      <c r="F5" s="46">
        <v>1000</v>
      </c>
      <c r="G5" s="39">
        <f>IF(F5=35,0.83,IF(AND(F5=110),0.92,IF(AND(F5=220),1.48,IF(AND(F5=330),1.85,IF(AND(F5=500),2.32,IF(AND(F5=750),2.83,IF(AND(F5=1000),3.17,IF(AND(F5=±500),2.12,IF(AND(F5=±800),2.65,IF(AND(F5=±1100),2.92,))))))))))</f>
        <v>3.17</v>
      </c>
      <c r="H5" s="47"/>
      <c r="I5" s="58">
        <v>1</v>
      </c>
      <c r="J5" s="8"/>
      <c r="K5" s="15"/>
      <c r="L5" s="4"/>
      <c r="M5" s="5"/>
      <c r="N5" s="5"/>
      <c r="O5" s="5"/>
      <c r="P5" s="5"/>
      <c r="Q5" s="5"/>
    </row>
    <row r="6" spans="1:17" ht="27">
      <c r="A6" s="6"/>
      <c r="B6" s="6" t="s">
        <v>53</v>
      </c>
      <c r="C6" s="55" t="s">
        <v>72</v>
      </c>
      <c r="D6" s="7"/>
      <c r="E6" s="7"/>
      <c r="F6" s="46">
        <v>300</v>
      </c>
      <c r="G6" s="39">
        <f>IF(F6=35,0.98,IF(AND(F6=110),1.16,IF(AND(F6=220),1.85,IF(AND(F6&lt;=330),2.09,IF(AND(F6&lt;=500),3.06,IF(AND(F6&lt;=750),3.72,IF(AND(F6&lt;=1000),4.18,)))))))</f>
        <v>2.09</v>
      </c>
      <c r="H6" s="47">
        <f>D6*G6/100</f>
        <v>0</v>
      </c>
      <c r="I6" s="58">
        <v>1</v>
      </c>
      <c r="J6" s="8"/>
      <c r="K6" s="15">
        <f>H6*(1-J6)</f>
        <v>0</v>
      </c>
      <c r="L6" s="9"/>
      <c r="M6" s="5"/>
      <c r="N6" s="5"/>
      <c r="O6" s="5"/>
      <c r="P6" s="5"/>
      <c r="Q6" s="5"/>
    </row>
    <row r="8" spans="1:17" ht="24.95" customHeight="1">
      <c r="H8" s="62"/>
    </row>
  </sheetData>
  <mergeCells count="9">
    <mergeCell ref="K3:K4"/>
    <mergeCell ref="D3:E3"/>
    <mergeCell ref="A1:K1"/>
    <mergeCell ref="A2:B2"/>
    <mergeCell ref="A3:A4"/>
    <mergeCell ref="B3:B4"/>
    <mergeCell ref="C3:C4"/>
    <mergeCell ref="I3:I4"/>
    <mergeCell ref="J3:J4"/>
  </mergeCells>
  <phoneticPr fontId="6" type="noConversion"/>
  <dataValidations count="1">
    <dataValidation type="list" allowBlank="1" showInputMessage="1" showErrorMessage="1" sqref="I5:I6">
      <formula1>"0.8,1,1.1,1.2,1.3"</formula1>
    </dataValidation>
  </dataValidations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"/>
  <sheetViews>
    <sheetView showGridLines="0" showZeros="0" showOutlineSymbols="0" workbookViewId="0">
      <selection activeCell="A2" sqref="A2:B2"/>
    </sheetView>
  </sheetViews>
  <sheetFormatPr defaultColWidth="8.625" defaultRowHeight="24.95" customHeight="1"/>
  <cols>
    <col min="1" max="1" width="17.75" style="1" customWidth="1"/>
    <col min="2" max="2" width="18.625" style="1" customWidth="1"/>
    <col min="3" max="3" width="53.25" style="1" customWidth="1"/>
    <col min="4" max="4" width="14.25" style="1" customWidth="1"/>
    <col min="5" max="5" width="16.625" style="1" bestFit="1" customWidth="1"/>
    <col min="6" max="6" width="10" style="1" customWidth="1"/>
    <col min="7" max="7" width="12.375" style="1" customWidth="1"/>
    <col min="8" max="9" width="7.625" style="1" customWidth="1"/>
    <col min="10" max="10" width="10.125" style="1" customWidth="1"/>
    <col min="11" max="12" width="8.625" style="1" customWidth="1"/>
    <col min="13" max="13" width="12.875" style="2" customWidth="1"/>
    <col min="14" max="14" width="8.625" style="1" customWidth="1"/>
    <col min="15" max="16384" width="8.625" style="1"/>
  </cols>
  <sheetData>
    <row r="1" spans="1:15" ht="24.95" customHeight="1">
      <c r="A1" s="98" t="s">
        <v>56</v>
      </c>
      <c r="B1" s="98"/>
      <c r="C1" s="98"/>
      <c r="D1" s="98"/>
      <c r="E1" s="98"/>
      <c r="F1" s="98"/>
      <c r="G1" s="98"/>
      <c r="H1" s="98"/>
      <c r="I1" s="98"/>
    </row>
    <row r="2" spans="1:15" ht="24.95" customHeight="1">
      <c r="A2" s="99" t="str">
        <f>'1.2招标费'!A2:C2</f>
        <v>客户名称：</v>
      </c>
      <c r="B2" s="99"/>
      <c r="C2" s="27"/>
      <c r="D2" s="3"/>
      <c r="E2" s="3"/>
      <c r="F2" s="3"/>
      <c r="G2" s="3"/>
      <c r="H2" s="3"/>
      <c r="I2" s="3"/>
    </row>
    <row r="3" spans="1:15" ht="25.5" customHeight="1">
      <c r="A3" s="94" t="s">
        <v>60</v>
      </c>
      <c r="B3" s="94" t="s">
        <v>49</v>
      </c>
      <c r="C3" s="94" t="s">
        <v>22</v>
      </c>
      <c r="D3" s="94" t="s">
        <v>26</v>
      </c>
      <c r="E3" s="100" t="s">
        <v>28</v>
      </c>
      <c r="F3" s="101"/>
      <c r="G3" s="102"/>
      <c r="H3" s="94" t="s">
        <v>2</v>
      </c>
      <c r="I3" s="94" t="s">
        <v>3</v>
      </c>
      <c r="J3" s="4"/>
      <c r="K3" s="96"/>
      <c r="L3" s="96"/>
      <c r="M3" s="96"/>
      <c r="N3" s="96"/>
      <c r="O3" s="5"/>
    </row>
    <row r="4" spans="1:15" ht="25.5" customHeight="1">
      <c r="A4" s="95"/>
      <c r="B4" s="95"/>
      <c r="C4" s="95"/>
      <c r="D4" s="95"/>
      <c r="E4" s="45" t="s">
        <v>48</v>
      </c>
      <c r="F4" s="42" t="s">
        <v>27</v>
      </c>
      <c r="G4" s="42" t="s">
        <v>50</v>
      </c>
      <c r="H4" s="95"/>
      <c r="I4" s="95"/>
      <c r="J4" s="4"/>
      <c r="K4" s="41"/>
      <c r="L4" s="41"/>
      <c r="M4" s="41"/>
      <c r="N4" s="41"/>
      <c r="O4" s="5"/>
    </row>
    <row r="5" spans="1:15" ht="29.25" customHeight="1">
      <c r="A5" s="6"/>
      <c r="B5" s="6" t="s">
        <v>42</v>
      </c>
      <c r="C5" s="43" t="s">
        <v>23</v>
      </c>
      <c r="D5" s="7"/>
      <c r="E5" s="46">
        <v>220</v>
      </c>
      <c r="F5" s="39">
        <f>IF(E5&lt;=220,0.87,IF(AND(E5&gt;330,E5&lt;=500),0.7,IF(AND(E5=750),0.46,IF(AND(E5=1000),0.44,IF(AND(E5=±500),0.48,IF(AND(E5=±800),0.4,IF(AND(E5=±1100),0.38,)))))))</f>
        <v>0.87</v>
      </c>
      <c r="G5" s="47">
        <f>D5*F5/100</f>
        <v>0</v>
      </c>
      <c r="H5" s="8"/>
      <c r="I5" s="15">
        <f>G5*(1-H5)</f>
        <v>0</v>
      </c>
      <c r="J5" s="4"/>
      <c r="K5" s="5"/>
      <c r="L5" s="5"/>
      <c r="M5" s="5"/>
      <c r="N5" s="5"/>
      <c r="O5" s="5"/>
    </row>
    <row r="6" spans="1:15" ht="24.95" customHeight="1">
      <c r="A6" s="6"/>
      <c r="B6" s="6" t="s">
        <v>45</v>
      </c>
      <c r="C6" s="43" t="s">
        <v>23</v>
      </c>
      <c r="D6" s="7"/>
      <c r="E6" s="46">
        <v>330</v>
      </c>
      <c r="F6" s="39">
        <f>IF(E6&gt;=220,0.42,)</f>
        <v>0.42</v>
      </c>
      <c r="G6" s="47">
        <f>D6*F6/100</f>
        <v>0</v>
      </c>
      <c r="H6" s="8"/>
      <c r="I6" s="15"/>
      <c r="J6" s="9"/>
      <c r="K6" s="5"/>
      <c r="L6" s="5"/>
      <c r="M6" s="5"/>
      <c r="N6" s="5"/>
      <c r="O6" s="5"/>
    </row>
  </sheetData>
  <sheetProtection password="C71F" sheet="1" objects="1" scenarios="1"/>
  <mergeCells count="10">
    <mergeCell ref="K3:N3"/>
    <mergeCell ref="A1:I1"/>
    <mergeCell ref="A2:B2"/>
    <mergeCell ref="A3:A4"/>
    <mergeCell ref="B3:B4"/>
    <mergeCell ref="C3:C4"/>
    <mergeCell ref="D3:D4"/>
    <mergeCell ref="E3:G3"/>
    <mergeCell ref="H3:H4"/>
    <mergeCell ref="I3:I4"/>
  </mergeCells>
  <phoneticPr fontId="6" type="noConversion"/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"/>
  <sheetViews>
    <sheetView showGridLines="0" showZeros="0" showOutlineSymbols="0" workbookViewId="0">
      <selection activeCell="A2" sqref="A2:B2"/>
    </sheetView>
  </sheetViews>
  <sheetFormatPr defaultColWidth="8.625" defaultRowHeight="24.95" customHeight="1"/>
  <cols>
    <col min="1" max="1" width="17.75" style="1" customWidth="1"/>
    <col min="2" max="2" width="18.625" style="1" customWidth="1"/>
    <col min="3" max="3" width="53.25" style="1" customWidth="1"/>
    <col min="4" max="4" width="14.25" style="1" customWidth="1"/>
    <col min="5" max="5" width="16.625" style="1" bestFit="1" customWidth="1"/>
    <col min="6" max="6" width="10" style="1" customWidth="1"/>
    <col min="7" max="8" width="12.375" style="1" customWidth="1"/>
    <col min="9" max="10" width="7.625" style="1" customWidth="1"/>
    <col min="11" max="11" width="10.125" style="1" customWidth="1"/>
    <col min="12" max="13" width="8.625" style="1" customWidth="1"/>
    <col min="14" max="14" width="12.875" style="2" customWidth="1"/>
    <col min="15" max="15" width="8.625" style="1" customWidth="1"/>
    <col min="16" max="16384" width="8.625" style="1"/>
  </cols>
  <sheetData>
    <row r="1" spans="1:16" ht="24.95" customHeight="1">
      <c r="A1" s="98" t="s">
        <v>61</v>
      </c>
      <c r="B1" s="98"/>
      <c r="C1" s="98"/>
      <c r="D1" s="98"/>
      <c r="E1" s="98"/>
      <c r="F1" s="98"/>
      <c r="G1" s="98"/>
      <c r="H1" s="98"/>
      <c r="I1" s="98"/>
      <c r="J1" s="98"/>
    </row>
    <row r="2" spans="1:16" ht="24.95" customHeight="1">
      <c r="A2" s="99" t="str">
        <f>'1.2招标费'!A2:C2</f>
        <v>客户名称：</v>
      </c>
      <c r="B2" s="99"/>
      <c r="C2" s="27"/>
      <c r="D2" s="3"/>
      <c r="E2" s="3"/>
      <c r="F2" s="3"/>
      <c r="G2" s="3"/>
      <c r="H2" s="3"/>
      <c r="I2" s="3"/>
      <c r="J2" s="3"/>
    </row>
    <row r="3" spans="1:16" ht="25.5" customHeight="1">
      <c r="A3" s="94" t="s">
        <v>60</v>
      </c>
      <c r="B3" s="94" t="s">
        <v>49</v>
      </c>
      <c r="C3" s="94" t="s">
        <v>22</v>
      </c>
      <c r="D3" s="94" t="s">
        <v>26</v>
      </c>
      <c r="E3" s="100" t="s">
        <v>28</v>
      </c>
      <c r="F3" s="101"/>
      <c r="G3" s="102"/>
      <c r="H3" s="104" t="s">
        <v>65</v>
      </c>
      <c r="I3" s="94" t="s">
        <v>2</v>
      </c>
      <c r="J3" s="94" t="s">
        <v>3</v>
      </c>
      <c r="K3" s="4"/>
      <c r="L3" s="96"/>
      <c r="M3" s="96"/>
      <c r="N3" s="96"/>
      <c r="O3" s="96"/>
      <c r="P3" s="5"/>
    </row>
    <row r="4" spans="1:16" ht="25.5" customHeight="1">
      <c r="A4" s="95"/>
      <c r="B4" s="95"/>
      <c r="C4" s="95"/>
      <c r="D4" s="95"/>
      <c r="E4" s="45" t="s">
        <v>48</v>
      </c>
      <c r="F4" s="42" t="s">
        <v>27</v>
      </c>
      <c r="G4" s="42" t="s">
        <v>50</v>
      </c>
      <c r="H4" s="105"/>
      <c r="I4" s="95"/>
      <c r="J4" s="95"/>
      <c r="K4" s="4"/>
      <c r="L4" s="41"/>
      <c r="M4" s="41"/>
      <c r="N4" s="41"/>
      <c r="O4" s="41"/>
      <c r="P4" s="5"/>
    </row>
    <row r="5" spans="1:16" ht="29.25" customHeight="1">
      <c r="A5" s="6"/>
      <c r="B5" s="6" t="s">
        <v>42</v>
      </c>
      <c r="C5" s="43" t="s">
        <v>23</v>
      </c>
      <c r="D5" s="7"/>
      <c r="E5" s="46">
        <v>220</v>
      </c>
      <c r="F5" s="39">
        <f>IF(E5&lt;=220,0.88,IF(AND(E5&gt;=330,E5&lt;=750),0.75,IF(AND(E5=1000),0.56,IF(AND(E5=±500),0.75,IF(AND(E5=±800),0.41,IF(AND(E5=±1100),0.41,))))))</f>
        <v>0.88</v>
      </c>
      <c r="G5" s="47">
        <f>D5*F5/100</f>
        <v>0</v>
      </c>
      <c r="H5" s="58">
        <v>1</v>
      </c>
      <c r="I5" s="8"/>
      <c r="J5" s="15">
        <f>G5*(1-I5)</f>
        <v>0</v>
      </c>
      <c r="K5" s="4"/>
      <c r="L5" s="5"/>
      <c r="M5" s="5"/>
      <c r="N5" s="5"/>
      <c r="O5" s="5"/>
      <c r="P5" s="5"/>
    </row>
    <row r="6" spans="1:16" ht="29.25" customHeight="1">
      <c r="A6" s="6"/>
      <c r="B6" s="6" t="s">
        <v>43</v>
      </c>
      <c r="C6" s="43" t="s">
        <v>62</v>
      </c>
      <c r="D6" s="7"/>
      <c r="E6" s="46">
        <v>220</v>
      </c>
      <c r="F6" s="39">
        <f>IF(E6&lt;=220,0.47,IF(AND(E6&gt;=330,E6&lt;=750),0.4,IF(AND(E6=1000),0.32,IF(AND(E6=±500),0.4,IF(AND(E6=±800),0.35,IF(AND(E6=±1100),0.35,))))))</f>
        <v>0.47</v>
      </c>
      <c r="G6" s="47">
        <f>D6*F6/100</f>
        <v>0</v>
      </c>
      <c r="H6" s="58">
        <v>1</v>
      </c>
      <c r="I6" s="8"/>
      <c r="J6" s="15">
        <f>G6*(1-I6)</f>
        <v>0</v>
      </c>
      <c r="K6" s="4"/>
      <c r="L6" s="5"/>
      <c r="M6" s="5"/>
      <c r="N6" s="5"/>
      <c r="O6" s="5"/>
      <c r="P6" s="5"/>
    </row>
    <row r="7" spans="1:16" ht="24.95" customHeight="1">
      <c r="A7" s="6"/>
      <c r="B7" s="6" t="s">
        <v>63</v>
      </c>
      <c r="C7" s="43" t="s">
        <v>23</v>
      </c>
      <c r="D7" s="7"/>
      <c r="E7" s="46">
        <v>330</v>
      </c>
      <c r="F7" s="39">
        <v>0.46</v>
      </c>
      <c r="G7" s="47">
        <f>D7*F7/100</f>
        <v>0</v>
      </c>
      <c r="H7" s="47"/>
      <c r="I7" s="8"/>
      <c r="J7" s="15"/>
      <c r="K7" s="9"/>
      <c r="L7" s="5"/>
      <c r="M7" s="5"/>
      <c r="N7" s="5"/>
      <c r="O7" s="5"/>
      <c r="P7" s="5"/>
    </row>
    <row r="8" spans="1:16" ht="24.95" customHeight="1">
      <c r="A8" s="6"/>
      <c r="B8" s="6" t="s">
        <v>64</v>
      </c>
      <c r="C8" s="43" t="s">
        <v>23</v>
      </c>
      <c r="D8" s="7"/>
      <c r="E8" s="46">
        <v>330</v>
      </c>
      <c r="F8" s="39">
        <v>0.4</v>
      </c>
      <c r="G8" s="47">
        <f>D8*F8/100</f>
        <v>0</v>
      </c>
      <c r="H8" s="47"/>
      <c r="I8" s="8"/>
      <c r="J8" s="15"/>
      <c r="K8" s="9"/>
      <c r="L8" s="5"/>
      <c r="M8" s="5"/>
      <c r="N8" s="5"/>
      <c r="O8" s="5"/>
      <c r="P8" s="5"/>
    </row>
  </sheetData>
  <sheetProtection password="C71F" sheet="1" objects="1" scenarios="1"/>
  <mergeCells count="11">
    <mergeCell ref="L3:O3"/>
    <mergeCell ref="H3:H4"/>
    <mergeCell ref="A1:J1"/>
    <mergeCell ref="A2:B2"/>
    <mergeCell ref="A3:A4"/>
    <mergeCell ref="B3:B4"/>
    <mergeCell ref="C3:C4"/>
    <mergeCell ref="D3:D4"/>
    <mergeCell ref="E3:G3"/>
    <mergeCell ref="I3:I4"/>
    <mergeCell ref="J3:J4"/>
  </mergeCells>
  <phoneticPr fontId="6" type="noConversion"/>
  <dataValidations count="2">
    <dataValidation type="list" allowBlank="1" showInputMessage="1" showErrorMessage="1" sqref="H5">
      <formula1>"0.75,1.0"</formula1>
    </dataValidation>
    <dataValidation type="list" allowBlank="1" showInputMessage="1" showErrorMessage="1" sqref="H6">
      <formula1>"0.8,1.0"</formula1>
    </dataValidation>
  </dataValidations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Q7"/>
  <sheetViews>
    <sheetView showGridLines="0" showZeros="0" showOutlineSymbols="0" workbookViewId="0">
      <selection activeCell="A3" sqref="A3:A4"/>
    </sheetView>
  </sheetViews>
  <sheetFormatPr defaultColWidth="8.625" defaultRowHeight="24.95" customHeight="1"/>
  <cols>
    <col min="1" max="1" width="17.75" style="1" customWidth="1"/>
    <col min="2" max="2" width="19.625" style="1" customWidth="1"/>
    <col min="3" max="3" width="22.125" style="1" customWidth="1"/>
    <col min="4" max="4" width="15.625" style="1" customWidth="1"/>
    <col min="5" max="5" width="12.375" style="1" customWidth="1"/>
    <col min="6" max="8" width="9.75" style="1" bestFit="1" customWidth="1"/>
    <col min="9" max="9" width="12.375" style="1" customWidth="1"/>
    <col min="10" max="11" width="9.75" style="1" bestFit="1" customWidth="1"/>
    <col min="12" max="12" width="9.25" style="1" customWidth="1"/>
    <col min="13" max="13" width="10.625" style="1" customWidth="1"/>
    <col min="14" max="14" width="10.125" style="1" customWidth="1"/>
    <col min="15" max="16" width="8.625" style="1" customWidth="1"/>
    <col min="17" max="17" width="12.875" style="2" customWidth="1"/>
    <col min="18" max="18" width="8.625" style="1" customWidth="1"/>
    <col min="19" max="16384" width="8.625" style="1"/>
  </cols>
  <sheetData>
    <row r="1" spans="1:9" ht="24.95" customHeight="1">
      <c r="A1" s="98" t="s">
        <v>32</v>
      </c>
      <c r="B1" s="98"/>
      <c r="C1" s="98"/>
      <c r="D1" s="98"/>
      <c r="E1" s="98"/>
      <c r="F1" s="98"/>
      <c r="G1" s="98"/>
      <c r="H1" s="98"/>
      <c r="I1" s="98"/>
    </row>
    <row r="2" spans="1:9" ht="24.95" customHeight="1">
      <c r="A2" s="99" t="str">
        <f>'1.5造价咨询及决算审计费'!A2:B2</f>
        <v>客户名称：</v>
      </c>
      <c r="B2" s="99"/>
      <c r="C2" s="99"/>
      <c r="D2" s="3"/>
      <c r="E2" s="3"/>
      <c r="F2" s="3"/>
      <c r="G2" s="3"/>
      <c r="H2" s="3"/>
      <c r="I2" s="3"/>
    </row>
    <row r="3" spans="1:9" ht="24.95" customHeight="1">
      <c r="A3" s="94" t="s">
        <v>0</v>
      </c>
      <c r="B3" s="94" t="s">
        <v>49</v>
      </c>
      <c r="C3" s="94" t="s">
        <v>22</v>
      </c>
      <c r="D3" s="94" t="s">
        <v>26</v>
      </c>
      <c r="E3" s="100" t="s">
        <v>28</v>
      </c>
      <c r="F3" s="101"/>
      <c r="G3" s="102"/>
      <c r="H3" s="94" t="s">
        <v>2</v>
      </c>
      <c r="I3" s="94" t="s">
        <v>3</v>
      </c>
    </row>
    <row r="4" spans="1:9" ht="24.95" customHeight="1">
      <c r="A4" s="95"/>
      <c r="B4" s="95"/>
      <c r="C4" s="95"/>
      <c r="D4" s="95"/>
      <c r="E4" s="45" t="s">
        <v>48</v>
      </c>
      <c r="F4" s="42" t="s">
        <v>27</v>
      </c>
      <c r="G4" s="42" t="s">
        <v>50</v>
      </c>
      <c r="H4" s="95"/>
      <c r="I4" s="95"/>
    </row>
    <row r="5" spans="1:9" ht="24.95" customHeight="1">
      <c r="A5" s="97"/>
      <c r="B5" s="6" t="s">
        <v>42</v>
      </c>
      <c r="C5" s="43" t="s">
        <v>23</v>
      </c>
      <c r="D5" s="7"/>
      <c r="E5" s="46">
        <v>1000</v>
      </c>
      <c r="F5" s="39">
        <f>IF(E5&lt;=220,2.97,IF(AND(E5=330),2.52,IF(AND(E5=500),2.52,IF(AND(E5=750),2.35,IF(AND(E5=1000),2.35,IF(AND(E5=±500),2.35,IF(AND(E5=±800),2.15,IF(AND(E5=±1100),2.15))))))))</f>
        <v>2.35</v>
      </c>
      <c r="G5" s="47">
        <f>D5*F5/100</f>
        <v>0</v>
      </c>
      <c r="H5" s="8"/>
      <c r="I5" s="15">
        <f>G5*(1-H5)</f>
        <v>0</v>
      </c>
    </row>
    <row r="6" spans="1:9" ht="24.95" customHeight="1">
      <c r="A6" s="97"/>
      <c r="B6" s="6" t="s">
        <v>45</v>
      </c>
      <c r="C6" s="43" t="s">
        <v>23</v>
      </c>
      <c r="D6" s="7"/>
      <c r="E6" s="46">
        <v>301</v>
      </c>
      <c r="F6" s="39">
        <v>0.94</v>
      </c>
      <c r="G6" s="47">
        <f>D6*F6/100</f>
        <v>0</v>
      </c>
      <c r="H6" s="8"/>
      <c r="I6" s="15"/>
    </row>
    <row r="7" spans="1:9" ht="24.95" customHeight="1">
      <c r="A7" s="97"/>
      <c r="B7" s="6" t="s">
        <v>46</v>
      </c>
      <c r="C7" s="43" t="s">
        <v>30</v>
      </c>
      <c r="D7" s="7"/>
      <c r="E7" s="28"/>
      <c r="F7" s="39">
        <v>0.52</v>
      </c>
      <c r="G7" s="47">
        <f t="shared" ref="G7" si="0">D7*F7/100</f>
        <v>0</v>
      </c>
      <c r="H7" s="8"/>
      <c r="I7" s="15"/>
    </row>
  </sheetData>
  <mergeCells count="10">
    <mergeCell ref="B3:B4"/>
    <mergeCell ref="E3:G3"/>
    <mergeCell ref="I3:I4"/>
    <mergeCell ref="A5:A7"/>
    <mergeCell ref="A1:I1"/>
    <mergeCell ref="A2:C2"/>
    <mergeCell ref="A3:A4"/>
    <mergeCell ref="C3:C4"/>
    <mergeCell ref="D3:D4"/>
    <mergeCell ref="H3:H4"/>
  </mergeCells>
  <phoneticPr fontId="6" type="noConversion"/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"/>
  <sheetViews>
    <sheetView showGridLines="0" showZeros="0" showOutlineSymbols="0" workbookViewId="0">
      <selection activeCell="A3" sqref="A3:A4"/>
    </sheetView>
  </sheetViews>
  <sheetFormatPr defaultColWidth="8.625" defaultRowHeight="24.95" customHeight="1"/>
  <cols>
    <col min="1" max="1" width="17.75" style="1" customWidth="1"/>
    <col min="2" max="2" width="19.625" style="1" customWidth="1"/>
    <col min="3" max="3" width="22.125" style="1" customWidth="1"/>
    <col min="4" max="4" width="15.625" style="1" customWidth="1"/>
    <col min="5" max="5" width="12.375" style="1" customWidth="1"/>
    <col min="6" max="8" width="9.75" style="1" bestFit="1" customWidth="1"/>
    <col min="9" max="9" width="12.375" style="1" customWidth="1"/>
    <col min="10" max="11" width="9.75" style="1" bestFit="1" customWidth="1"/>
    <col min="12" max="12" width="9.25" style="1" customWidth="1"/>
    <col min="13" max="13" width="10.625" style="1" customWidth="1"/>
    <col min="14" max="14" width="10.125" style="1" customWidth="1"/>
    <col min="15" max="16" width="8.625" style="1" customWidth="1"/>
    <col min="17" max="17" width="12.875" style="2" customWidth="1"/>
    <col min="18" max="18" width="8.625" style="1" customWidth="1"/>
    <col min="19" max="16384" width="8.625" style="1"/>
  </cols>
  <sheetData>
    <row r="1" spans="1:11" ht="24.95" customHeight="1">
      <c r="A1" s="98" t="s">
        <v>32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4.95" customHeight="1">
      <c r="A2" s="99" t="str">
        <f>'2.1.1项目前期工作费'!A2:C2</f>
        <v>客户名称：</v>
      </c>
      <c r="B2" s="99"/>
      <c r="C2" s="99"/>
      <c r="D2" s="3"/>
      <c r="E2" s="3"/>
      <c r="F2" s="3"/>
      <c r="G2" s="3"/>
      <c r="H2" s="3"/>
      <c r="I2" s="3"/>
      <c r="J2" s="3"/>
      <c r="K2" s="3"/>
    </row>
    <row r="3" spans="1:11" ht="24.95" customHeight="1">
      <c r="A3" s="94" t="s">
        <v>0</v>
      </c>
      <c r="B3" s="94" t="s">
        <v>49</v>
      </c>
      <c r="C3" s="94" t="s">
        <v>22</v>
      </c>
      <c r="D3" s="110" t="s">
        <v>66</v>
      </c>
      <c r="E3" s="111"/>
      <c r="F3" s="112" t="s">
        <v>28</v>
      </c>
      <c r="G3" s="112"/>
      <c r="H3" s="112"/>
      <c r="I3" s="112"/>
      <c r="J3" s="94" t="s">
        <v>2</v>
      </c>
      <c r="K3" s="94" t="s">
        <v>71</v>
      </c>
    </row>
    <row r="4" spans="1:11" ht="27">
      <c r="A4" s="95"/>
      <c r="B4" s="95"/>
      <c r="C4" s="109"/>
      <c r="D4" s="55" t="s">
        <v>76</v>
      </c>
      <c r="E4" s="55" t="s">
        <v>69</v>
      </c>
      <c r="F4" s="45" t="s">
        <v>48</v>
      </c>
      <c r="G4" s="53" t="s">
        <v>70</v>
      </c>
      <c r="H4" s="29" t="s">
        <v>57</v>
      </c>
      <c r="I4" s="53" t="s">
        <v>50</v>
      </c>
      <c r="J4" s="109"/>
      <c r="K4" s="109"/>
    </row>
    <row r="5" spans="1:11" ht="24.95" customHeight="1">
      <c r="A5" s="6"/>
      <c r="B5" s="6" t="s">
        <v>67</v>
      </c>
      <c r="C5" s="55" t="s">
        <v>34</v>
      </c>
      <c r="D5" s="71"/>
      <c r="E5" s="71"/>
      <c r="F5" s="46">
        <v>100</v>
      </c>
      <c r="G5" s="39">
        <f>IF(F5&lt;=20,4.29,IF(AND(F5&gt;20,F5&lt;=50),3.68,IF(AND(F5&gt;50,F5&lt;=100),3.07,IF(AND(F5&gt;100),2.05,))))</f>
        <v>3.07</v>
      </c>
      <c r="H5" s="39">
        <v>0.8</v>
      </c>
      <c r="I5" s="39">
        <f>D5*G5+E5*G5*H5</f>
        <v>0</v>
      </c>
      <c r="J5" s="8"/>
      <c r="K5" s="15">
        <f>I5*(1-J5)</f>
        <v>0</v>
      </c>
    </row>
    <row r="6" spans="1:11" ht="24.95" customHeight="1">
      <c r="A6" s="6"/>
      <c r="B6" s="6" t="s">
        <v>68</v>
      </c>
      <c r="C6" s="55" t="s">
        <v>34</v>
      </c>
      <c r="D6" s="7"/>
      <c r="E6" s="71"/>
      <c r="F6" s="46">
        <v>100</v>
      </c>
      <c r="G6" s="39">
        <f>IF(F6&lt;=20,4.29,IF(AND(F6&gt;20,F6&lt;=50),3.68,IF(AND(F6&gt;50,F6&lt;=100),3.07,IF(AND(F6&gt;100),2.05,))))</f>
        <v>3.07</v>
      </c>
      <c r="H6" s="39">
        <v>0.8</v>
      </c>
      <c r="I6" s="39">
        <f>D6*G6+E6*G6*H6</f>
        <v>0</v>
      </c>
      <c r="J6" s="8"/>
      <c r="K6" s="15">
        <f>I6*(1-J6)</f>
        <v>0</v>
      </c>
    </row>
  </sheetData>
  <mergeCells count="9">
    <mergeCell ref="A2:C2"/>
    <mergeCell ref="A1:K1"/>
    <mergeCell ref="J3:J4"/>
    <mergeCell ref="K3:K4"/>
    <mergeCell ref="A3:A4"/>
    <mergeCell ref="B3:B4"/>
    <mergeCell ref="C3:C4"/>
    <mergeCell ref="D3:E3"/>
    <mergeCell ref="F3:I3"/>
  </mergeCells>
  <phoneticPr fontId="6" type="noConversion"/>
  <printOptions gridLines="1"/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1.1项目法人管理经费</vt:lpstr>
      <vt:lpstr>1.2招标费</vt:lpstr>
      <vt:lpstr>1.3.1监理费</vt:lpstr>
      <vt:lpstr>1.3.2监理费 (架空线路)</vt:lpstr>
      <vt:lpstr>1.4设备材料监造费</vt:lpstr>
      <vt:lpstr>1.5造价咨询及决算审计费</vt:lpstr>
      <vt:lpstr>2.1.1项目前期工作费</vt:lpstr>
      <vt:lpstr>2.1.2项目前期工作费 (架空线路)</vt:lpstr>
      <vt:lpstr>2.3.1设计文件评审费（变电站）</vt:lpstr>
      <vt:lpstr>2.3.2设计文件评审费（换流站）</vt:lpstr>
      <vt:lpstr>2.3.3设计文件评审费 (架空输电线路)</vt:lpstr>
      <vt:lpstr>2.5项目后评价费</vt:lpstr>
      <vt:lpstr>2.6工程结算审查费</vt:lpstr>
      <vt:lpstr>2.7工程建设检测费</vt:lpstr>
      <vt:lpstr>2.8生产准备费</vt:lpstr>
    </vt:vector>
  </TitlesOfParts>
  <Company>Micorosoft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Micorosoft</cp:lastModifiedBy>
  <dcterms:created xsi:type="dcterms:W3CDTF">2021-08-09T09:24:34Z</dcterms:created>
  <dcterms:modified xsi:type="dcterms:W3CDTF">2022-05-19T08:31:32Z</dcterms:modified>
</cp:coreProperties>
</file>